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GERAL\Termo de Referencia - Projeto Basico\SETIC\Central de Serviços - 2020\Revisado para republicação\"/>
    </mc:Choice>
  </mc:AlternateContent>
  <bookViews>
    <workbookView xWindow="-28275" yWindow="32760" windowWidth="20610" windowHeight="9000" tabRatio="830" firstSheet="1" activeTab="1"/>
  </bookViews>
  <sheets>
    <sheet name="Apoio" sheetId="1" state="hidden" r:id="rId1"/>
    <sheet name="AVISO" sheetId="2" r:id="rId2"/>
    <sheet name="Base de Cálculo" sheetId="13" r:id="rId3"/>
    <sheet name="Dados Contratação" sheetId="3" r:id="rId4"/>
    <sheet name="Dados Proponente" sheetId="4" r:id="rId5"/>
    <sheet name="Encargos_Benefícios" sheetId="5" r:id="rId6"/>
    <sheet name="Uniformes" sheetId="6" r:id="rId7"/>
    <sheet name="Supervisor TRT" sheetId="8" r:id="rId8"/>
    <sheet name="Técnico TRT" sheetId="14" r:id="rId9"/>
    <sheet name="Técnico Fórum" sheetId="16" r:id="rId10"/>
    <sheet name="Valor Global" sheetId="12" r:id="rId11"/>
  </sheets>
  <externalReferences>
    <externalReference r:id="rId12"/>
  </externalReferences>
  <definedNames>
    <definedName name="_xlnm.Print_Area" localSheetId="0">Apoio!$A$1:$L$34</definedName>
    <definedName name="_xlnm.Print_Area" localSheetId="1">AVISO!$C$3:$E$30</definedName>
    <definedName name="_xlnm.Print_Area" localSheetId="2">'Base de Cálculo'!$A$1:$J$131</definedName>
    <definedName name="_xlnm.Print_Area" localSheetId="3">'Dados Contratação'!$B$2:$J$23</definedName>
    <definedName name="_xlnm.Print_Area" localSheetId="4">'Dados Proponente'!$B$2:$I$48</definedName>
    <definedName name="_xlnm.Print_Area" localSheetId="5">Encargos_Benefícios!$A$1:$I$77</definedName>
    <definedName name="_xlnm.Print_Area" localSheetId="7">'Supervisor TRT'!$A$1:$K$143</definedName>
    <definedName name="_xlnm.Print_Area" localSheetId="9">'Técnico Fórum'!$A$1:$K$143</definedName>
    <definedName name="_xlnm.Print_Area" localSheetId="8">'Técnico TRT'!$A$1:$K$143</definedName>
    <definedName name="_xlnm.Print_Area" localSheetId="6">Uniformes!$A$1:$I$25</definedName>
    <definedName name="_xlnm.Print_Area" localSheetId="10">'Valor Global'!$A$1:$L$36</definedName>
    <definedName name="Excel_BuiltIn__FilterDatabase" localSheetId="10">'Valor Global'!$B$12:$L$15</definedName>
    <definedName name="Jornada">Apoio!$A$2:$A$7</definedName>
    <definedName name="Periodo">Apoio!$K$2:$K$6</definedName>
    <definedName name="Receita">Apoio!$A$14:$A$34</definedName>
    <definedName name="Semana">Apoio!$K$1:$K$6</definedName>
    <definedName name="Tipo_de_Joranda_de_Trabalho" localSheetId="0">OFFSET(Apoio!$A$1,1,0,COUNTA(Apoio!$A:$A)-1,1)</definedName>
    <definedName name="Tipo_de_Joranda_de_Trabalho">OFFSET([1]Apoio!$A$1,1,0,COUNTA([1]Apoio!$A$1:$A$65536)-1,1)</definedName>
  </definedNames>
  <calcPr calcId="152511"/>
</workbook>
</file>

<file path=xl/calcChain.xml><?xml version="1.0" encoding="utf-8"?>
<calcChain xmlns="http://schemas.openxmlformats.org/spreadsheetml/2006/main">
  <c r="I117" i="16" l="1"/>
  <c r="I117" i="14"/>
  <c r="I117" i="8"/>
  <c r="I19" i="5"/>
  <c r="C18" i="12"/>
  <c r="C27" i="12" s="1"/>
  <c r="C11" i="12"/>
  <c r="C26" i="12" s="1"/>
  <c r="E18" i="6"/>
  <c r="E9" i="6"/>
  <c r="J19" i="16"/>
  <c r="J19" i="14"/>
  <c r="J19" i="8"/>
  <c r="J24" i="8"/>
  <c r="J29" i="8"/>
  <c r="H57" i="5"/>
  <c r="H58" i="5"/>
  <c r="F60" i="5"/>
  <c r="H59" i="5" s="1"/>
  <c r="I15" i="6"/>
  <c r="I111" i="16"/>
  <c r="I111" i="14"/>
  <c r="I110" i="14"/>
  <c r="G118" i="13"/>
  <c r="G130" i="13"/>
  <c r="H19" i="14"/>
  <c r="J26" i="14" s="1"/>
  <c r="K26" i="14" s="1"/>
  <c r="F71" i="5"/>
  <c r="H70" i="5"/>
  <c r="J36" i="16"/>
  <c r="F12" i="1"/>
  <c r="H19" i="16"/>
  <c r="J26" i="16" s="1"/>
  <c r="K26" i="16" s="1"/>
  <c r="H34" i="5"/>
  <c r="J37" i="16"/>
  <c r="K37" i="16"/>
  <c r="I41" i="5"/>
  <c r="J38" i="8" s="1"/>
  <c r="F46" i="5"/>
  <c r="I11" i="6"/>
  <c r="I12" i="6"/>
  <c r="I13" i="6"/>
  <c r="I14" i="6"/>
  <c r="F7" i="1"/>
  <c r="I28" i="4" s="1"/>
  <c r="I29" i="4" s="1"/>
  <c r="H19" i="8"/>
  <c r="J26" i="8" s="1"/>
  <c r="K26" i="8" s="1"/>
  <c r="F65" i="5"/>
  <c r="I64" i="5"/>
  <c r="J36" i="8"/>
  <c r="I34" i="5"/>
  <c r="J37" i="8"/>
  <c r="K37" i="8"/>
  <c r="I20" i="6"/>
  <c r="I21" i="6"/>
  <c r="I22" i="6"/>
  <c r="I23" i="6"/>
  <c r="I24" i="6"/>
  <c r="I25" i="6"/>
  <c r="J45" i="8"/>
  <c r="G45" i="4"/>
  <c r="G43" i="4"/>
  <c r="J35" i="12"/>
  <c r="B19" i="16"/>
  <c r="B19" i="14"/>
  <c r="G15" i="14"/>
  <c r="B15" i="14"/>
  <c r="G15" i="16"/>
  <c r="B15" i="16"/>
  <c r="J21" i="3"/>
  <c r="J15" i="14" s="1"/>
  <c r="D13" i="12" s="1"/>
  <c r="D15" i="12" s="1"/>
  <c r="D26" i="12" s="1"/>
  <c r="D28" i="12" s="1"/>
  <c r="G21" i="3"/>
  <c r="J22" i="3"/>
  <c r="J20" i="3"/>
  <c r="J23" i="3" s="1"/>
  <c r="I5" i="1"/>
  <c r="I4" i="1"/>
  <c r="I3" i="1"/>
  <c r="I2" i="1"/>
  <c r="I57" i="5"/>
  <c r="I58" i="5"/>
  <c r="I50" i="5"/>
  <c r="I51" i="5"/>
  <c r="F53" i="5"/>
  <c r="I52" i="5"/>
  <c r="J35" i="8" s="1"/>
  <c r="F8" i="1"/>
  <c r="J4" i="14"/>
  <c r="J4" i="16"/>
  <c r="J4" i="8"/>
  <c r="E7" i="8"/>
  <c r="K35" i="12"/>
  <c r="H7" i="5"/>
  <c r="E7" i="5"/>
  <c r="B7" i="5"/>
  <c r="I5" i="5"/>
  <c r="H5" i="5"/>
  <c r="E5" i="5"/>
  <c r="B5" i="5"/>
  <c r="I7" i="12"/>
  <c r="H7" i="6"/>
  <c r="F7" i="12"/>
  <c r="E7" i="6"/>
  <c r="B7" i="12"/>
  <c r="J5" i="12"/>
  <c r="H5" i="12"/>
  <c r="F5" i="12"/>
  <c r="B5" i="12"/>
  <c r="E4" i="16"/>
  <c r="E5" i="16"/>
  <c r="E7" i="16"/>
  <c r="I7" i="16"/>
  <c r="E9" i="16"/>
  <c r="E11" i="16"/>
  <c r="F19" i="16"/>
  <c r="K30" i="16"/>
  <c r="K46" i="16"/>
  <c r="K47" i="16"/>
  <c r="K48" i="16"/>
  <c r="K49" i="16"/>
  <c r="E4" i="14"/>
  <c r="E5" i="14"/>
  <c r="E7" i="14"/>
  <c r="I7" i="14"/>
  <c r="E9" i="14"/>
  <c r="E11" i="14"/>
  <c r="F19" i="14"/>
  <c r="K30" i="14"/>
  <c r="K46" i="14"/>
  <c r="K47" i="14"/>
  <c r="K48" i="14"/>
  <c r="K49" i="14"/>
  <c r="K46" i="8"/>
  <c r="K47" i="8"/>
  <c r="K48" i="8"/>
  <c r="E4" i="8"/>
  <c r="B19" i="8"/>
  <c r="G15" i="8"/>
  <c r="B15" i="8"/>
  <c r="E5" i="8"/>
  <c r="I7" i="8"/>
  <c r="F19" i="8"/>
  <c r="E9" i="8"/>
  <c r="E11" i="8"/>
  <c r="B7" i="6"/>
  <c r="I5" i="6"/>
  <c r="H5" i="6"/>
  <c r="E5" i="6"/>
  <c r="B5" i="6"/>
  <c r="K30" i="8"/>
  <c r="I126" i="13"/>
  <c r="F126" i="13"/>
  <c r="F125" i="13"/>
  <c r="I114" i="13"/>
  <c r="I113" i="13"/>
  <c r="F114" i="13"/>
  <c r="F113" i="13"/>
  <c r="J33" i="13"/>
  <c r="J37" i="13"/>
  <c r="J41" i="13"/>
  <c r="J23" i="13"/>
  <c r="I45" i="13"/>
  <c r="J45" i="13"/>
  <c r="J19" i="13"/>
  <c r="I49" i="13" s="1"/>
  <c r="J49" i="13" s="1"/>
  <c r="I53" i="13"/>
  <c r="J53" i="13"/>
  <c r="J57" i="13"/>
  <c r="J61" i="13"/>
  <c r="J65" i="13"/>
  <c r="J69" i="13"/>
  <c r="J73" i="13"/>
  <c r="J77" i="13"/>
  <c r="J81" i="13"/>
  <c r="J85" i="13"/>
  <c r="J89" i="13"/>
  <c r="G33" i="13"/>
  <c r="G37" i="13"/>
  <c r="G41" i="13"/>
  <c r="G23" i="13"/>
  <c r="F45" i="13"/>
  <c r="G45" i="13"/>
  <c r="G19" i="13"/>
  <c r="F49" i="13"/>
  <c r="G49" i="13"/>
  <c r="F53" i="13"/>
  <c r="G53" i="13" s="1"/>
  <c r="G93" i="13" s="1"/>
  <c r="G99" i="13" s="1"/>
  <c r="G57" i="13"/>
  <c r="G27" i="13"/>
  <c r="F61" i="13"/>
  <c r="G61" i="13"/>
  <c r="G65" i="13"/>
  <c r="G69" i="13"/>
  <c r="G73" i="13"/>
  <c r="G77" i="13"/>
  <c r="G81" i="13"/>
  <c r="G85" i="13"/>
  <c r="G89" i="13"/>
  <c r="J27" i="13"/>
  <c r="J12" i="13"/>
  <c r="I5" i="13"/>
  <c r="J4" i="13"/>
  <c r="F5" i="13"/>
  <c r="G4" i="13" s="1"/>
  <c r="G12" i="13"/>
  <c r="K49" i="8"/>
  <c r="H23" i="3"/>
  <c r="H15" i="3"/>
  <c r="G20" i="3"/>
  <c r="G22" i="3"/>
  <c r="H38" i="5"/>
  <c r="I38" i="5"/>
  <c r="H76" i="5"/>
  <c r="I76" i="5"/>
  <c r="K40" i="16"/>
  <c r="K40" i="14"/>
  <c r="K40" i="8"/>
  <c r="J15" i="16"/>
  <c r="D14" i="12"/>
  <c r="J37" i="14"/>
  <c r="K37" i="14"/>
  <c r="I115" i="14"/>
  <c r="I113" i="14" s="1"/>
  <c r="I115" i="16"/>
  <c r="I115" i="8"/>
  <c r="I113" i="8" s="1"/>
  <c r="I114" i="16"/>
  <c r="I114" i="8"/>
  <c r="I114" i="14"/>
  <c r="I26" i="4"/>
  <c r="J15" i="8"/>
  <c r="D20" i="12"/>
  <c r="D21" i="12"/>
  <c r="D27" i="12" s="1"/>
  <c r="H41" i="5"/>
  <c r="J38" i="16"/>
  <c r="K38" i="16"/>
  <c r="J38" i="14"/>
  <c r="K38" i="14" s="1"/>
  <c r="I110" i="16"/>
  <c r="H50" i="5"/>
  <c r="H51" i="5"/>
  <c r="J36" i="14"/>
  <c r="J50" i="8"/>
  <c r="J130" i="8" s="1"/>
  <c r="I21" i="8"/>
  <c r="J22" i="8"/>
  <c r="J27" i="8"/>
  <c r="K27" i="8" s="1"/>
  <c r="F47" i="5"/>
  <c r="H45" i="5" s="1"/>
  <c r="J39" i="16" s="1"/>
  <c r="I45" i="5"/>
  <c r="J39" i="8"/>
  <c r="F103" i="13" l="1"/>
  <c r="G103" i="13" s="1"/>
  <c r="F104" i="13"/>
  <c r="G104" i="13" s="1"/>
  <c r="K38" i="8"/>
  <c r="J41" i="8"/>
  <c r="K130" i="8"/>
  <c r="G20" i="12"/>
  <c r="G21" i="12" s="1"/>
  <c r="G27" i="12" s="1"/>
  <c r="J103" i="8"/>
  <c r="J93" i="13"/>
  <c r="J99" i="13" s="1"/>
  <c r="K29" i="8"/>
  <c r="K22" i="8"/>
  <c r="I22" i="8"/>
  <c r="J39" i="14"/>
  <c r="J21" i="8"/>
  <c r="J28" i="8" s="1"/>
  <c r="K28" i="8" s="1"/>
  <c r="I16" i="6"/>
  <c r="J31" i="8"/>
  <c r="J35" i="16"/>
  <c r="J41" i="16" s="1"/>
  <c r="J35" i="14"/>
  <c r="J41" i="14" s="1"/>
  <c r="K21" i="8"/>
  <c r="J24" i="14"/>
  <c r="J27" i="14"/>
  <c r="K27" i="14" s="1"/>
  <c r="J27" i="16"/>
  <c r="K27" i="16" s="1"/>
  <c r="J24" i="16"/>
  <c r="J25" i="8"/>
  <c r="K25" i="8" s="1"/>
  <c r="I113" i="16"/>
  <c r="G28" i="4"/>
  <c r="I30" i="4"/>
  <c r="I31" i="4" s="1"/>
  <c r="G30" i="4"/>
  <c r="G24" i="4"/>
  <c r="G25" i="4"/>
  <c r="I121" i="14"/>
  <c r="I121" i="8"/>
  <c r="I121" i="16"/>
  <c r="K140" i="8" l="1"/>
  <c r="J29" i="16"/>
  <c r="J25" i="16"/>
  <c r="K25" i="16" s="1"/>
  <c r="J129" i="8"/>
  <c r="J102" i="8"/>
  <c r="J25" i="14"/>
  <c r="K25" i="14" s="1"/>
  <c r="J29" i="14"/>
  <c r="J102" i="14"/>
  <c r="J129" i="14"/>
  <c r="J102" i="16"/>
  <c r="J129" i="16"/>
  <c r="J128" i="8"/>
  <c r="J67" i="8"/>
  <c r="J101" i="8"/>
  <c r="J68" i="8"/>
  <c r="J79" i="8" s="1"/>
  <c r="K141" i="8" s="1"/>
  <c r="J45" i="14"/>
  <c r="J50" i="14" s="1"/>
  <c r="J45" i="16"/>
  <c r="J50" i="16" s="1"/>
  <c r="I104" i="13"/>
  <c r="J104" i="13" s="1"/>
  <c r="I103" i="13"/>
  <c r="J103" i="13" s="1"/>
  <c r="K129" i="8" l="1"/>
  <c r="F20" i="12"/>
  <c r="F21" i="12" s="1"/>
  <c r="F27" i="12" s="1"/>
  <c r="J130" i="16"/>
  <c r="J103" i="16"/>
  <c r="K138" i="8"/>
  <c r="J69" i="8"/>
  <c r="K137" i="8"/>
  <c r="K139" i="8" s="1"/>
  <c r="K142" i="8" s="1"/>
  <c r="K129" i="14"/>
  <c r="F13" i="12"/>
  <c r="F14" i="12"/>
  <c r="K129" i="16"/>
  <c r="J103" i="14"/>
  <c r="J130" i="14"/>
  <c r="J31" i="16"/>
  <c r="K29" i="14"/>
  <c r="K22" i="14"/>
  <c r="J21" i="14"/>
  <c r="J28" i="14" s="1"/>
  <c r="K28" i="14" s="1"/>
  <c r="I21" i="14"/>
  <c r="K21" i="14"/>
  <c r="J22" i="14"/>
  <c r="I22" i="14"/>
  <c r="K29" i="16"/>
  <c r="K21" i="16"/>
  <c r="I21" i="16"/>
  <c r="K22" i="16"/>
  <c r="I22" i="16"/>
  <c r="J21" i="16"/>
  <c r="J28" i="16" s="1"/>
  <c r="K28" i="16" s="1"/>
  <c r="J22" i="16"/>
  <c r="K128" i="8"/>
  <c r="E20" i="12"/>
  <c r="E21" i="12" s="1"/>
  <c r="E27" i="12" s="1"/>
  <c r="J81" i="8"/>
  <c r="J31" i="14" l="1"/>
  <c r="J93" i="8"/>
  <c r="J61" i="8"/>
  <c r="J56" i="8"/>
  <c r="J58" i="8"/>
  <c r="J57" i="8"/>
  <c r="J62" i="8"/>
  <c r="J60" i="8"/>
  <c r="J78" i="8" s="1"/>
  <c r="J55" i="8"/>
  <c r="J59" i="8"/>
  <c r="G13" i="12"/>
  <c r="G15" i="12" s="1"/>
  <c r="G26" i="12" s="1"/>
  <c r="G28" i="12" s="1"/>
  <c r="K130" i="14"/>
  <c r="K130" i="16"/>
  <c r="G14" i="12"/>
  <c r="J101" i="16"/>
  <c r="J128" i="16"/>
  <c r="J67" i="16"/>
  <c r="J68" i="16"/>
  <c r="J79" i="16" s="1"/>
  <c r="K141" i="16" s="1"/>
  <c r="K140" i="16"/>
  <c r="F15" i="12"/>
  <c r="F26" i="12" s="1"/>
  <c r="F28" i="12" s="1"/>
  <c r="J81" i="16" l="1"/>
  <c r="K138" i="16"/>
  <c r="J69" i="16"/>
  <c r="K137" i="16"/>
  <c r="E14" i="12"/>
  <c r="K128" i="16"/>
  <c r="J63" i="8"/>
  <c r="J68" i="14"/>
  <c r="J128" i="14"/>
  <c r="J67" i="14"/>
  <c r="J101" i="14"/>
  <c r="K140" i="14"/>
  <c r="J81" i="14"/>
  <c r="J79" i="14" l="1"/>
  <c r="K141" i="14" s="1"/>
  <c r="K139" i="16"/>
  <c r="K142" i="16" s="1"/>
  <c r="E13" i="12"/>
  <c r="E15" i="12" s="1"/>
  <c r="E26" i="12" s="1"/>
  <c r="E28" i="12" s="1"/>
  <c r="K128" i="14"/>
  <c r="J93" i="16"/>
  <c r="J61" i="16"/>
  <c r="J57" i="16"/>
  <c r="J56" i="16"/>
  <c r="J55" i="16"/>
  <c r="J60" i="16"/>
  <c r="J78" i="16" s="1"/>
  <c r="J59" i="16"/>
  <c r="J58" i="16"/>
  <c r="J62" i="16"/>
  <c r="K137" i="14"/>
  <c r="K138" i="14"/>
  <c r="J69" i="14"/>
  <c r="J73" i="8"/>
  <c r="J74" i="8" s="1"/>
  <c r="J94" i="8" s="1"/>
  <c r="J92" i="8"/>
  <c r="J80" i="8"/>
  <c r="J82" i="8" s="1"/>
  <c r="J63" i="16" l="1"/>
  <c r="J73" i="16" s="1"/>
  <c r="J74" i="16" s="1"/>
  <c r="J94" i="16" s="1"/>
  <c r="J92" i="16"/>
  <c r="J93" i="14"/>
  <c r="J57" i="14"/>
  <c r="J55" i="14"/>
  <c r="J62" i="14"/>
  <c r="J58" i="14"/>
  <c r="J61" i="14"/>
  <c r="J56" i="14"/>
  <c r="J59" i="14"/>
  <c r="J60" i="14"/>
  <c r="J78" i="14" s="1"/>
  <c r="K139" i="14"/>
  <c r="K142" i="14" s="1"/>
  <c r="J86" i="8"/>
  <c r="J87" i="8"/>
  <c r="J95" i="8"/>
  <c r="K55" i="8"/>
  <c r="J63" i="14" l="1"/>
  <c r="J92" i="14" s="1"/>
  <c r="J80" i="16"/>
  <c r="J82" i="16" s="1"/>
  <c r="J95" i="16" s="1"/>
  <c r="J88" i="8"/>
  <c r="J96" i="8" s="1"/>
  <c r="J97" i="8" s="1"/>
  <c r="J80" i="14" l="1"/>
  <c r="J82" i="14" s="1"/>
  <c r="J95" i="14" s="1"/>
  <c r="J73" i="14"/>
  <c r="J74" i="14" s="1"/>
  <c r="J94" i="14" s="1"/>
  <c r="J87" i="16"/>
  <c r="J86" i="16"/>
  <c r="J131" i="8"/>
  <c r="J104" i="8"/>
  <c r="J87" i="14" l="1"/>
  <c r="J86" i="14"/>
  <c r="J88" i="14" s="1"/>
  <c r="J96" i="14" s="1"/>
  <c r="J97" i="14" s="1"/>
  <c r="J88" i="16"/>
  <c r="J96" i="16" s="1"/>
  <c r="J97" i="16" s="1"/>
  <c r="J105" i="8"/>
  <c r="K35" i="8" s="1"/>
  <c r="K131" i="8"/>
  <c r="H20" i="12"/>
  <c r="H21" i="12" s="1"/>
  <c r="H27" i="12" s="1"/>
  <c r="K55" i="14"/>
  <c r="K55" i="16"/>
  <c r="J131" i="16" l="1"/>
  <c r="J104" i="16"/>
  <c r="J105" i="16" s="1"/>
  <c r="K96" i="16"/>
  <c r="K104" i="8"/>
  <c r="J104" i="14"/>
  <c r="J131" i="14"/>
  <c r="K62" i="8"/>
  <c r="K60" i="8"/>
  <c r="K36" i="8"/>
  <c r="K87" i="8"/>
  <c r="K93" i="8"/>
  <c r="K92" i="8"/>
  <c r="K81" i="8"/>
  <c r="K101" i="8"/>
  <c r="K59" i="8"/>
  <c r="K58" i="8"/>
  <c r="K79" i="8"/>
  <c r="K80" i="8"/>
  <c r="K103" i="8"/>
  <c r="K24" i="8"/>
  <c r="K31" i="8" s="1"/>
  <c r="K94" i="8"/>
  <c r="J109" i="8"/>
  <c r="K61" i="8"/>
  <c r="K45" i="8"/>
  <c r="K50" i="8" s="1"/>
  <c r="K68" i="8"/>
  <c r="K73" i="8"/>
  <c r="K74" i="8" s="1"/>
  <c r="K39" i="8"/>
  <c r="K56" i="8"/>
  <c r="K78" i="8"/>
  <c r="K67" i="8"/>
  <c r="K102" i="8"/>
  <c r="K95" i="8"/>
  <c r="K57" i="8"/>
  <c r="K96" i="8"/>
  <c r="K86" i="8"/>
  <c r="K88" i="8" s="1"/>
  <c r="K63" i="8" l="1"/>
  <c r="K104" i="16"/>
  <c r="K103" i="16"/>
  <c r="K24" i="16"/>
  <c r="K31" i="16" s="1"/>
  <c r="K61" i="16"/>
  <c r="K56" i="16"/>
  <c r="K102" i="16"/>
  <c r="K59" i="16"/>
  <c r="K78" i="16"/>
  <c r="K82" i="16" s="1"/>
  <c r="K57" i="16"/>
  <c r="K94" i="16"/>
  <c r="K62" i="16"/>
  <c r="K68" i="16"/>
  <c r="K87" i="16"/>
  <c r="K35" i="16"/>
  <c r="K95" i="16"/>
  <c r="K60" i="16"/>
  <c r="K36" i="16"/>
  <c r="K67" i="16"/>
  <c r="K69" i="16" s="1"/>
  <c r="J109" i="16"/>
  <c r="J110" i="16" s="1"/>
  <c r="J111" i="16" s="1"/>
  <c r="K101" i="16"/>
  <c r="K81" i="16"/>
  <c r="K45" i="16"/>
  <c r="K50" i="16" s="1"/>
  <c r="K39" i="16"/>
  <c r="K58" i="16"/>
  <c r="K73" i="16"/>
  <c r="K74" i="16" s="1"/>
  <c r="K93" i="16"/>
  <c r="K80" i="16"/>
  <c r="K92" i="16"/>
  <c r="K79" i="16"/>
  <c r="K86" i="16"/>
  <c r="K88" i="16" s="1"/>
  <c r="K131" i="16"/>
  <c r="H14" i="12"/>
  <c r="K97" i="8"/>
  <c r="K41" i="8"/>
  <c r="K69" i="8"/>
  <c r="J110" i="8"/>
  <c r="J111" i="8" s="1"/>
  <c r="K105" i="8"/>
  <c r="K131" i="14"/>
  <c r="H13" i="12"/>
  <c r="H15" i="12" s="1"/>
  <c r="H26" i="12" s="1"/>
  <c r="H28" i="12" s="1"/>
  <c r="K82" i="8"/>
  <c r="J105" i="14"/>
  <c r="K104" i="14" s="1"/>
  <c r="J124" i="16"/>
  <c r="K110" i="16" s="1"/>
  <c r="K41" i="16" l="1"/>
  <c r="K63" i="16"/>
  <c r="K97" i="16"/>
  <c r="K105" i="16"/>
  <c r="J124" i="8"/>
  <c r="J117" i="8" s="1"/>
  <c r="K117" i="8" s="1"/>
  <c r="K109" i="8"/>
  <c r="J115" i="8"/>
  <c r="K115" i="8" s="1"/>
  <c r="J123" i="8"/>
  <c r="K123" i="8" s="1"/>
  <c r="K111" i="8"/>
  <c r="K60" i="14"/>
  <c r="K36" i="14"/>
  <c r="K102" i="14"/>
  <c r="K86" i="14"/>
  <c r="K57" i="14"/>
  <c r="K103" i="14"/>
  <c r="K95" i="14"/>
  <c r="K62" i="14"/>
  <c r="K56" i="14"/>
  <c r="K67" i="14"/>
  <c r="K35" i="14"/>
  <c r="K93" i="14"/>
  <c r="K78" i="14"/>
  <c r="K94" i="14"/>
  <c r="J109" i="14"/>
  <c r="K73" i="14"/>
  <c r="K74" i="14" s="1"/>
  <c r="K92" i="14"/>
  <c r="K24" i="14"/>
  <c r="K31" i="14" s="1"/>
  <c r="K39" i="14"/>
  <c r="K45" i="14"/>
  <c r="K50" i="14" s="1"/>
  <c r="K96" i="14"/>
  <c r="K81" i="14"/>
  <c r="K58" i="14"/>
  <c r="K61" i="14"/>
  <c r="K68" i="14"/>
  <c r="K101" i="14"/>
  <c r="K80" i="14"/>
  <c r="K59" i="14"/>
  <c r="K79" i="14"/>
  <c r="K87" i="14"/>
  <c r="K110" i="8"/>
  <c r="J115" i="16"/>
  <c r="K115" i="16" s="1"/>
  <c r="J114" i="16"/>
  <c r="J116" i="16"/>
  <c r="K116" i="16" s="1"/>
  <c r="J123" i="16"/>
  <c r="K123" i="16" s="1"/>
  <c r="J121" i="16"/>
  <c r="K121" i="16" s="1"/>
  <c r="J119" i="16"/>
  <c r="K119" i="16" s="1"/>
  <c r="J117" i="16"/>
  <c r="K117" i="16" s="1"/>
  <c r="K109" i="16"/>
  <c r="K111" i="16"/>
  <c r="K69" i="14" l="1"/>
  <c r="J121" i="8"/>
  <c r="K121" i="8" s="1"/>
  <c r="J119" i="8"/>
  <c r="K119" i="8" s="1"/>
  <c r="J114" i="8"/>
  <c r="J116" i="8"/>
  <c r="K116" i="8" s="1"/>
  <c r="J110" i="14"/>
  <c r="K88" i="14"/>
  <c r="J113" i="8"/>
  <c r="K114" i="8"/>
  <c r="K41" i="14"/>
  <c r="K105" i="14"/>
  <c r="K97" i="14"/>
  <c r="K63" i="14"/>
  <c r="K82" i="14"/>
  <c r="K114" i="16"/>
  <c r="J113" i="16"/>
  <c r="K113" i="8" l="1"/>
  <c r="K124" i="8" s="1"/>
  <c r="J132" i="8"/>
  <c r="J111" i="14"/>
  <c r="K113" i="16"/>
  <c r="K124" i="16" s="1"/>
  <c r="J132" i="16"/>
  <c r="J124" i="14" l="1"/>
  <c r="K111" i="14"/>
  <c r="J133" i="8"/>
  <c r="K132" i="8"/>
  <c r="K133" i="8" s="1"/>
  <c r="I20" i="12"/>
  <c r="I14" i="12"/>
  <c r="J14" i="12" s="1"/>
  <c r="K14" i="12" s="1"/>
  <c r="K132" i="16"/>
  <c r="K133" i="16" s="1"/>
  <c r="J133" i="16"/>
  <c r="J20" i="12" l="1"/>
  <c r="I21" i="12"/>
  <c r="I27" i="12" s="1"/>
  <c r="J121" i="14"/>
  <c r="K121" i="14" s="1"/>
  <c r="J123" i="14"/>
  <c r="K123" i="14" s="1"/>
  <c r="J117" i="14"/>
  <c r="K117" i="14" s="1"/>
  <c r="J114" i="14"/>
  <c r="J115" i="14"/>
  <c r="K115" i="14" s="1"/>
  <c r="J116" i="14"/>
  <c r="K116" i="14" s="1"/>
  <c r="J119" i="14"/>
  <c r="K119" i="14" s="1"/>
  <c r="K109" i="14"/>
  <c r="K110" i="14"/>
  <c r="K114" i="14" l="1"/>
  <c r="J113" i="14"/>
  <c r="K20" i="12"/>
  <c r="K21" i="12" s="1"/>
  <c r="K27" i="12" s="1"/>
  <c r="J21" i="12"/>
  <c r="J27" i="12" s="1"/>
  <c r="K113" i="14" l="1"/>
  <c r="K124" i="14" s="1"/>
  <c r="J132" i="14"/>
  <c r="K132" i="14" l="1"/>
  <c r="K133" i="14" s="1"/>
  <c r="I13" i="12"/>
  <c r="J133" i="14"/>
  <c r="J13" i="12" l="1"/>
  <c r="I15" i="12"/>
  <c r="I26" i="12" s="1"/>
  <c r="I28" i="12" s="1"/>
  <c r="K13" i="12" l="1"/>
  <c r="K15" i="12" s="1"/>
  <c r="K26" i="12" s="1"/>
  <c r="K28" i="12" s="1"/>
  <c r="J34" i="12" s="1"/>
  <c r="J36" i="12" s="1"/>
  <c r="J15" i="12"/>
  <c r="J26" i="12" s="1"/>
  <c r="J28" i="12" s="1"/>
</calcChain>
</file>

<file path=xl/comments1.xml><?xml version="1.0" encoding="utf-8"?>
<comments xmlns="http://schemas.openxmlformats.org/spreadsheetml/2006/main">
  <authors>
    <author xml:space="preserve">Tribunal Regional do Trabalho 24ª Região </author>
  </authors>
  <commentList>
    <comment ref="I30" authorId="0" shapeId="0">
      <text>
        <r>
          <rPr>
            <b/>
            <sz val="8"/>
            <color indexed="81"/>
            <rFont val="Tahoma"/>
            <family val="2"/>
          </rPr>
          <t xml:space="preserve">ISS de 3% a ser aplicado nas seguintes cidades:
CASSILÂNDIA
MUNDO NOVO
SÃO GABRIEL DO OESTE </t>
        </r>
      </text>
    </comment>
  </commentList>
</comments>
</file>

<file path=xl/sharedStrings.xml><?xml version="1.0" encoding="utf-8"?>
<sst xmlns="http://schemas.openxmlformats.org/spreadsheetml/2006/main" count="906" uniqueCount="374">
  <si>
    <t>Tipo de Joranda de Trabalho</t>
  </si>
  <si>
    <t>Joranda de Trabalho Mensal</t>
  </si>
  <si>
    <t>Dia Trabalhados no Mês</t>
  </si>
  <si>
    <t>Tributo</t>
  </si>
  <si>
    <t>Lucro Real</t>
  </si>
  <si>
    <t>Lucro Presumido</t>
  </si>
  <si>
    <t>Sem Fins Lucrativos</t>
  </si>
  <si>
    <t>Escala 12x36 horas</t>
  </si>
  <si>
    <t>PIS</t>
  </si>
  <si>
    <t>44 horas semanais</t>
  </si>
  <si>
    <t>COFINS</t>
  </si>
  <si>
    <t>40 horas semanais</t>
  </si>
  <si>
    <t>ISS</t>
  </si>
  <si>
    <t>36 horas semanais</t>
  </si>
  <si>
    <t>30 horas semanais</t>
  </si>
  <si>
    <t>15 horas semanais (TQQ)</t>
  </si>
  <si>
    <t>ATENÇÃO!</t>
  </si>
  <si>
    <t>Este arquivo é apenas uma ferramenta para facilitar a formulação da sua proposta.</t>
  </si>
  <si>
    <t>É dever da empresa licitante assegurar-se de que os valores e cálculos inseridos em sua proposta estejam corretos.</t>
  </si>
  <si>
    <t>O Tribunal Regional do Trabalho da 24ª Região não se responsabiliza por quaisquer valores e/ou fórmulas de cálculo constantes neste arquivo.</t>
  </si>
  <si>
    <t>INSTRUÇÕES DE PREENCHIMENTO</t>
  </si>
  <si>
    <t>Insira dados apenas nas células com fundo</t>
  </si>
  <si>
    <t>AMARELO</t>
  </si>
  <si>
    <t>.</t>
  </si>
  <si>
    <r>
      <t xml:space="preserve">As planilhas constantes neste arquivo estão bloqueadas para evitar digitação em células com fórmulas, porém, </t>
    </r>
    <r>
      <rPr>
        <b/>
        <u/>
        <sz val="12"/>
        <color indexed="17"/>
        <rFont val="Arial"/>
        <family val="2"/>
      </rPr>
      <t>não</t>
    </r>
    <r>
      <rPr>
        <sz val="12"/>
        <color indexed="17"/>
        <rFont val="Arial"/>
        <family val="2"/>
      </rPr>
      <t xml:space="preserve"> há senha para desbloqueio.</t>
    </r>
  </si>
  <si>
    <t>Caso seja necessário desbloquear alguma planilha, siga as instruções abaixo.</t>
  </si>
  <si>
    <t>Para MS-Excel 97 ou 2003:</t>
  </si>
  <si>
    <t>Na faixa de opções acima, clique em "Ferramentas", depois em "Proteger" e finalmente em "Desproteger planilha".</t>
  </si>
  <si>
    <t>Para MS-Excel 2007 ou 2010:</t>
  </si>
  <si>
    <t>Na faixa de opções acima, clique em "Revisão"  e depois em "Desproteger Planilha".</t>
  </si>
  <si>
    <r>
      <t xml:space="preserve">Para maiores informações sobre o correto preenchimento das planilhas acesse o </t>
    </r>
    <r>
      <rPr>
        <i/>
        <sz val="12"/>
        <color indexed="17"/>
        <rFont val="Arial"/>
        <family val="2"/>
      </rPr>
      <t>link</t>
    </r>
    <r>
      <rPr>
        <sz val="12"/>
        <color indexed="17"/>
        <rFont val="Arial"/>
        <family val="2"/>
      </rPr>
      <t xml:space="preserve"> abaixo:</t>
    </r>
  </si>
  <si>
    <t>http://www.comprasnet.gov.br/publicacoes/manuais/Manual_preenchimento_planilha_de_custo_-_18-06-2011.pdf</t>
  </si>
  <si>
    <t>TRIBUNAL REGIONAL DO TRABALHO DA 24ª REGIÃO</t>
  </si>
  <si>
    <t>1 - DADOS DA CONTRATAÇÃO</t>
  </si>
  <si>
    <t>Quadro 1.1 - Discriminação dos Serviços (dados referentes à contratação)</t>
  </si>
  <si>
    <t>Nº do Processo Administrativo:</t>
  </si>
  <si>
    <t>Licitação nº:</t>
  </si>
  <si>
    <t>Data:</t>
  </si>
  <si>
    <t>Horário:</t>
  </si>
  <si>
    <t>Local da Prestação dos Serviços:</t>
  </si>
  <si>
    <t>Vigência da Contratação:</t>
  </si>
  <si>
    <t>A Vigência é Prorrogável?</t>
  </si>
  <si>
    <t>Prazo Máximo de Vigência:</t>
  </si>
  <si>
    <t>CAMPO GRANDE/MS</t>
  </si>
  <si>
    <t>SIM</t>
  </si>
  <si>
    <t>Quadro 1.2 - Identificação do Serviço</t>
  </si>
  <si>
    <t>Objeto da Contratação:</t>
  </si>
  <si>
    <t>Tipo de Serviço</t>
  </si>
  <si>
    <t>Unidade de Medida:</t>
  </si>
  <si>
    <t>Quantidade Mínima a Contratar:</t>
  </si>
  <si>
    <t>Postos de Trabalho</t>
  </si>
  <si>
    <t>Quadro 1.3 - Detalhamento do Objeto</t>
  </si>
  <si>
    <t>Item</t>
  </si>
  <si>
    <t>Posto de Trabalho</t>
  </si>
  <si>
    <t>Tipo de Jornada de Trabalho</t>
  </si>
  <si>
    <t>Período</t>
  </si>
  <si>
    <t>Jornada de Trabalho Mensal</t>
  </si>
  <si>
    <t>Quantidade Mínima de Postos</t>
  </si>
  <si>
    <t>Ocupantes por Posto</t>
  </si>
  <si>
    <t>Quantidade de Profissionais</t>
  </si>
  <si>
    <t>Diurno</t>
  </si>
  <si>
    <t>TOTAL</t>
  </si>
  <si>
    <t>n/a</t>
  </si>
  <si>
    <t>2 - DADOS DA PROPONENTE</t>
  </si>
  <si>
    <t>Quadro 2.1 - Dados da Proponente</t>
  </si>
  <si>
    <t>Razão Social:</t>
  </si>
  <si>
    <t>CNPJ:</t>
  </si>
  <si>
    <r>
      <t xml:space="preserve">Endereço da Matriz </t>
    </r>
    <r>
      <rPr>
        <sz val="8"/>
        <color indexed="10"/>
        <rFont val="Arial"/>
        <family val="2"/>
      </rPr>
      <t xml:space="preserve">(digite o endereço no formato </t>
    </r>
    <r>
      <rPr>
        <i/>
        <sz val="8"/>
        <color indexed="10"/>
        <rFont val="Arial"/>
        <family val="2"/>
      </rPr>
      <t>Logradouro, nº, Complemento - Bairro</t>
    </r>
    <r>
      <rPr>
        <sz val="8"/>
        <color indexed="10"/>
        <rFont val="Arial"/>
        <family val="2"/>
      </rPr>
      <t>)</t>
    </r>
    <r>
      <rPr>
        <sz val="8"/>
        <rFont val="Arial"/>
        <family val="2"/>
      </rPr>
      <t>:</t>
    </r>
  </si>
  <si>
    <t>Município:</t>
  </si>
  <si>
    <t>UF:</t>
  </si>
  <si>
    <t>CEP:</t>
  </si>
  <si>
    <t>DDD:</t>
  </si>
  <si>
    <t>Telefone:</t>
  </si>
  <si>
    <t>E-mail</t>
  </si>
  <si>
    <r>
      <t xml:space="preserve">Endereço do Escritório em Campo Grande / MS </t>
    </r>
    <r>
      <rPr>
        <sz val="8"/>
        <color indexed="10"/>
        <rFont val="Arial"/>
        <family val="2"/>
      </rPr>
      <t xml:space="preserve">(digite o endereço no formato </t>
    </r>
    <r>
      <rPr>
        <i/>
        <sz val="8"/>
        <color indexed="10"/>
        <rFont val="Arial"/>
        <family val="2"/>
      </rPr>
      <t>Logradouro, nº, Complemento - Bairro</t>
    </r>
    <r>
      <rPr>
        <sz val="8"/>
        <color indexed="10"/>
        <rFont val="Arial"/>
        <family val="2"/>
      </rPr>
      <t>)</t>
    </r>
    <r>
      <rPr>
        <sz val="8"/>
        <rFont val="Arial"/>
        <family val="2"/>
      </rPr>
      <t>:</t>
    </r>
  </si>
  <si>
    <t>Quadro 2.2 - Regime de Tributação da Proponente</t>
  </si>
  <si>
    <t>Base de Cálculo</t>
  </si>
  <si>
    <t>Alíquota (%)</t>
  </si>
  <si>
    <t>A</t>
  </si>
  <si>
    <t>Tributos Federais</t>
  </si>
  <si>
    <t>A.1</t>
  </si>
  <si>
    <t>A.2</t>
  </si>
  <si>
    <t>Entidade Sem Fins Lucrativos</t>
  </si>
  <si>
    <t>Subtotal Tributos Federais</t>
  </si>
  <si>
    <t>B</t>
  </si>
  <si>
    <t>Tributos Distritais</t>
  </si>
  <si>
    <t>B.1</t>
  </si>
  <si>
    <t>ISS (ISSQN)</t>
  </si>
  <si>
    <t>DADOS GERAIS</t>
  </si>
  <si>
    <t>SALÁRIO</t>
  </si>
  <si>
    <t>Salário Mínimo Oficial Vigente:</t>
  </si>
  <si>
    <t>REMUNERAÇÃO</t>
  </si>
  <si>
    <t xml:space="preserve">ENCARGOS LEGAIS </t>
  </si>
  <si>
    <t>INSS</t>
  </si>
  <si>
    <t>SESI ou SESC</t>
  </si>
  <si>
    <t>SENAI ou SENAC</t>
  </si>
  <si>
    <t>INCRA</t>
  </si>
  <si>
    <t>Salário Educação</t>
  </si>
  <si>
    <t>FGTS</t>
  </si>
  <si>
    <t>Seguro Acidente de Trabalho</t>
  </si>
  <si>
    <t>SEBRAE</t>
  </si>
  <si>
    <t>13º Salário</t>
  </si>
  <si>
    <t>Adicional de Férias</t>
  </si>
  <si>
    <t>Afastamento Maternidade</t>
  </si>
  <si>
    <t>Dias de afastamento maternidade</t>
  </si>
  <si>
    <t>Dias do mês</t>
  </si>
  <si>
    <t>% de mulheres</t>
  </si>
  <si>
    <t>Expectativa mensal de novos afastamento</t>
  </si>
  <si>
    <t>BENEFÍCIOS LEGAIS ACORDADOS</t>
  </si>
  <si>
    <t>Assistência Social Familiar Sindical</t>
  </si>
  <si>
    <t>Valor Unitário Mensal</t>
  </si>
  <si>
    <t>Empregado</t>
  </si>
  <si>
    <t>Cesta Básica</t>
  </si>
  <si>
    <t>Auxílio Creche</t>
  </si>
  <si>
    <t>Percentual de Ocorrência</t>
  </si>
  <si>
    <t>Seguro de Vida em Grupo</t>
  </si>
  <si>
    <t>(Custo Total Mensal)</t>
  </si>
  <si>
    <t>Valor Unitário Anual</t>
  </si>
  <si>
    <t>Custo Mensal do Empregado (10%)</t>
  </si>
  <si>
    <t>(Custo da Empresa Excedente aos 6%)</t>
  </si>
  <si>
    <t>Base de cálculo (remuneração individual)</t>
  </si>
  <si>
    <t>Empregado (6% do base de cálculo)</t>
  </si>
  <si>
    <t>Campo Grande</t>
  </si>
  <si>
    <t>Número de bilhetes/dia</t>
  </si>
  <si>
    <t>Numero de dias</t>
  </si>
  <si>
    <t>Valor da tarifa</t>
  </si>
  <si>
    <t>(Custo Mensal da Empresa)</t>
  </si>
  <si>
    <t>Número de refeições/dia</t>
  </si>
  <si>
    <t>Número de dias/mês</t>
  </si>
  <si>
    <t>Valor unitário da refeição</t>
  </si>
  <si>
    <t>Custo do Empregado</t>
  </si>
  <si>
    <t>Participação nos Resultados</t>
  </si>
  <si>
    <t>Número de faltas anuais</t>
  </si>
  <si>
    <t>REPOSIÇÃO DE EMPREGADOS AUSENTES</t>
  </si>
  <si>
    <t>Férias</t>
  </si>
  <si>
    <t>Licença Paternidade</t>
  </si>
  <si>
    <t>Ausências Legais</t>
  </si>
  <si>
    <t>PROVISÃO PARA RESCISÃO</t>
  </si>
  <si>
    <t>Aviso Prévio Indenizado</t>
  </si>
  <si>
    <t>Percentual de funcionários indenizados</t>
  </si>
  <si>
    <t>Multa do FGTS do Aviso Prévio Indenizado</t>
  </si>
  <si>
    <t>Percentual</t>
  </si>
  <si>
    <t>Aviso Prévio Trabalhado</t>
  </si>
  <si>
    <t>Multa do FGTS do Aviso Prévio Trabalhado</t>
  </si>
  <si>
    <t>Provisão para Rescisão</t>
  </si>
  <si>
    <t>RESERVA MENSAL PARA O PAGAMENTO DE ENCARGOS TRABALHISTAS</t>
  </si>
  <si>
    <t>Sub-total</t>
  </si>
  <si>
    <t>Total da Reserva Mensal</t>
  </si>
  <si>
    <r>
      <t>Observação:</t>
    </r>
    <r>
      <rPr>
        <sz val="10"/>
        <color indexed="10"/>
        <rFont val="Arial"/>
        <family val="2"/>
      </rPr>
      <t xml:space="preserve"> A planilha está concebida para efetuar automaticamente os cálculos, devendo ser alimentados somente os valores nos campos em amarelo.</t>
    </r>
  </si>
  <si>
    <t>Custo Unitário</t>
  </si>
  <si>
    <t xml:space="preserve">   · </t>
  </si>
  <si>
    <t>Camisa</t>
  </si>
  <si>
    <t>Calça</t>
  </si>
  <si>
    <t>Meia (par)</t>
  </si>
  <si>
    <t>Cinto</t>
  </si>
  <si>
    <t>Vida Útil
(meses)</t>
  </si>
  <si>
    <t>Qtd.</t>
  </si>
  <si>
    <t>Custo Total Mensal de Uniformes</t>
  </si>
  <si>
    <t>Unidade</t>
  </si>
  <si>
    <t>Valor Estimado Mensal</t>
  </si>
  <si>
    <t>INSUMOS DIVERSOS</t>
  </si>
  <si>
    <t>Processo nº:</t>
  </si>
  <si>
    <t>Licitação:</t>
  </si>
  <si>
    <t>Descrição:</t>
  </si>
  <si>
    <t>Data Pregão:</t>
  </si>
  <si>
    <t>Horário do Pregão:</t>
  </si>
  <si>
    <t>Empresa:</t>
  </si>
  <si>
    <t xml:space="preserve">CNPJ:   </t>
  </si>
  <si>
    <t>Local da Prestação dos Serviços</t>
  </si>
  <si>
    <t>Escala de Trabalho</t>
  </si>
  <si>
    <t>Número de Profissionais</t>
  </si>
  <si>
    <t>CAMPO GRANDE / TRT</t>
  </si>
  <si>
    <t>Profissional</t>
  </si>
  <si>
    <r>
      <t xml:space="preserve">Data Base
</t>
    </r>
    <r>
      <rPr>
        <b/>
        <sz val="7"/>
        <color indexed="56"/>
        <rFont val="Arial"/>
        <family val="2"/>
      </rPr>
      <t>(dd/mm/aaaa)</t>
    </r>
    <r>
      <rPr>
        <b/>
        <sz val="8"/>
        <color indexed="56"/>
        <rFont val="Arial"/>
        <family val="2"/>
      </rPr>
      <t>:</t>
    </r>
  </si>
  <si>
    <t>Salário Mínimo 
Oficial Vigente:</t>
  </si>
  <si>
    <t>Salário Normativo da  
Categoria Profissional:</t>
  </si>
  <si>
    <t>Valor</t>
  </si>
  <si>
    <t>% Custo Total</t>
  </si>
  <si>
    <t>Salário Base</t>
  </si>
  <si>
    <t>Adicional de Insalubridade</t>
  </si>
  <si>
    <t>Adicional Noturno</t>
  </si>
  <si>
    <t>Intervalo Intrajornada</t>
  </si>
  <si>
    <t xml:space="preserve">Outros: </t>
  </si>
  <si>
    <t>Total de Remuneração</t>
  </si>
  <si>
    <t>BENEFÍCIOS MENSAIS E DIÁRIOS</t>
  </si>
  <si>
    <t>Vale Transporte</t>
  </si>
  <si>
    <t>Auxílio Alimentação (Vales, cesta básica, etc.)</t>
  </si>
  <si>
    <t>Seguro de Vida, Invalidez e Funeral</t>
  </si>
  <si>
    <t>Outros (Especificar)</t>
  </si>
  <si>
    <t>Total de Benefícios Mensais e Diários</t>
  </si>
  <si>
    <t>UNIFORMES E EQUIPAMENTOS</t>
  </si>
  <si>
    <t>Uniformes</t>
  </si>
  <si>
    <t>Total de Uniformes e Equipamentos</t>
  </si>
  <si>
    <t>ENCARGOS SOCIAIS E TRABALHISTAS</t>
  </si>
  <si>
    <t>ENCARGOS PREVIDENCIÁRIOS E FGTS</t>
  </si>
  <si>
    <t>Total de Encargos Previdenciários e FGTS</t>
  </si>
  <si>
    <t>13º SALÁRIO E ADICIONAL DE FÉRIAS</t>
  </si>
  <si>
    <t>AFASTAMENTO MATERNIDADE</t>
  </si>
  <si>
    <t>Total de Afastamento Maternidade</t>
  </si>
  <si>
    <t>Total de Provisão para Rescisão</t>
  </si>
  <si>
    <t>CUSTO DE REPOSIÇÃO DO PROFISSIONAL AUSENTE</t>
  </si>
  <si>
    <t>Total do Custo de Reposição do Profissional Ausente</t>
  </si>
  <si>
    <t>QUADRO RESUMO - ENCARGOS SOCIAIS E TRABALHISTAS</t>
  </si>
  <si>
    <t>Encargos Previdenciários e FGTS</t>
  </si>
  <si>
    <t>13º Salário e Adicional de Férias</t>
  </si>
  <si>
    <t>Custo de Reposição do Profissional Ausente</t>
  </si>
  <si>
    <t>Total de Encargos Sociais e Trabalhistas</t>
  </si>
  <si>
    <t>VALOR DA PROPOSTA POR EMPREGADO</t>
  </si>
  <si>
    <t>Custo Total por Empregado</t>
  </si>
  <si>
    <t>CUSTOS INDIRETOS, LUCRO E TRIBUTOS</t>
  </si>
  <si>
    <t>Custos Indiretos / Despesas Operacionais e Administrativas</t>
  </si>
  <si>
    <t>Lucro</t>
  </si>
  <si>
    <t>Tributos</t>
  </si>
  <si>
    <t>SIMPLES</t>
  </si>
  <si>
    <t xml:space="preserve">  </t>
  </si>
  <si>
    <r>
      <t>Obs.:</t>
    </r>
    <r>
      <rPr>
        <i/>
        <sz val="8"/>
        <color indexed="10"/>
        <rFont val="Arial"/>
        <family val="2"/>
      </rPr>
      <t xml:space="preserve"> Vedada a inclusão de IRPJ e CSLL.</t>
    </r>
  </si>
  <si>
    <t>Tributos Estaduais (especificar):</t>
  </si>
  <si>
    <t>ISSQN</t>
  </si>
  <si>
    <t>Outros Tributos (especificar):</t>
  </si>
  <si>
    <t>Total dos Custos Indiretos, Lucro e Tributos</t>
  </si>
  <si>
    <t>QUADRO RESUMO</t>
  </si>
  <si>
    <t>Valor por Empregado</t>
  </si>
  <si>
    <t>Valor por Posto</t>
  </si>
  <si>
    <t>Remuneração</t>
  </si>
  <si>
    <t>Benefícios Mensais e Diários</t>
  </si>
  <si>
    <t>Uniformes e Equipamentos</t>
  </si>
  <si>
    <t>Encargos Sociais e Trabalhistas</t>
  </si>
  <si>
    <t>Custos Indiretos, Lucro e Tributos</t>
  </si>
  <si>
    <t>Valor Mensal do Serviço</t>
  </si>
  <si>
    <r>
      <t>Observações:</t>
    </r>
    <r>
      <rPr>
        <sz val="10"/>
        <color indexed="10"/>
        <rFont val="Arial"/>
        <family val="2"/>
      </rPr>
      <t xml:space="preserve"> A planilha está concebida para efetuar automaticamente os cálculos, devendo ser alimentados somente os valores nos campos em amarelo.</t>
    </r>
  </si>
  <si>
    <r>
      <t>(Informações Gerais - IG)</t>
    </r>
    <r>
      <rPr>
        <sz val="10"/>
        <color indexed="10"/>
        <rFont val="Arial"/>
        <family val="2"/>
      </rPr>
      <t xml:space="preserve"> Informar a data do pregão, horário do pregão, razão social da empresa licitante, CNPJ da empresa licitante e data base da categoria profissional.</t>
    </r>
  </si>
  <si>
    <r>
      <t xml:space="preserve">(Módulo Remuneração - MR) </t>
    </r>
    <r>
      <rPr>
        <sz val="10"/>
        <color indexed="10"/>
        <rFont val="Arial"/>
        <family val="2"/>
      </rPr>
      <t xml:space="preserve"> Informar somente os adicionais previstos na Convenção Coletiva de Trabalho-CCT ou os decorrentes do local de trabalho.</t>
    </r>
  </si>
  <si>
    <r>
      <t>(Módulo Tributos)</t>
    </r>
    <r>
      <rPr>
        <sz val="10"/>
        <color indexed="10"/>
        <rFont val="Arial"/>
        <family val="2"/>
      </rPr>
      <t xml:space="preserve"> Informar os percentuais dos Tributos Federais: COFINS e PIS ou SIMPLES, Tributos Estaduais: especificar caso exista tributo, Tributos Municipais: ISSQN, e Outros Tributos: especificar caso exista outro tributo.</t>
    </r>
  </si>
  <si>
    <t>QUANT. DE PROF.</t>
  </si>
  <si>
    <t>VALOR MENSAL DO SERVIÇO POR EMPREGADO</t>
  </si>
  <si>
    <t>VALOR MENSAL DO SERVIÇO POR POSTO</t>
  </si>
  <si>
    <t>TRT</t>
  </si>
  <si>
    <t>FÓRUM TRAB. DE C. GRANDE</t>
  </si>
  <si>
    <t>PERCENTUAL</t>
  </si>
  <si>
    <t>Total do 13º Salário e Adicional de Férias</t>
  </si>
  <si>
    <t>Férias - dias não trabalhado no ano</t>
  </si>
  <si>
    <t>dias de férias no ano</t>
  </si>
  <si>
    <t>% - proporção de dias de folga no mês</t>
  </si>
  <si>
    <t>Licenças de óbito</t>
  </si>
  <si>
    <t>licenças de óbito sem sogro/sogra</t>
  </si>
  <si>
    <t>% de homens</t>
  </si>
  <si>
    <t>taxa de paternidade</t>
  </si>
  <si>
    <t>Exame Prenatal</t>
  </si>
  <si>
    <t>Doações de sangue - dias</t>
  </si>
  <si>
    <t>% de doações</t>
  </si>
  <si>
    <t>dia anuais de ausência por doação de sangue</t>
  </si>
  <si>
    <t>Ausência justificada</t>
  </si>
  <si>
    <t xml:space="preserve">        Incidência anual</t>
  </si>
  <si>
    <t xml:space="preserve">        Duração</t>
  </si>
  <si>
    <t xml:space="preserve">        Proporção de dias de trabalho afetados</t>
  </si>
  <si>
    <t>Ausência por acidente de trabalho ou enfermidade</t>
  </si>
  <si>
    <t>Ausência por consulta médica de filho/filha</t>
  </si>
  <si>
    <t>Ausência para exame prenatal</t>
  </si>
  <si>
    <t>Licença paternidade</t>
  </si>
  <si>
    <t>Licença de óbito</t>
  </si>
  <si>
    <t>Licença de casamento</t>
  </si>
  <si>
    <t>Ausência por doação de sangue</t>
  </si>
  <si>
    <t>% participação da CIPA</t>
  </si>
  <si>
    <t xml:space="preserve">        Duração - equivalente em dias</t>
  </si>
  <si>
    <t>Ausência por troca de zoan eleitoral</t>
  </si>
  <si>
    <t>Ausência para alistamento militar</t>
  </si>
  <si>
    <t>Ausência para prova vestibular</t>
  </si>
  <si>
    <t>Ausência para testemunho</t>
  </si>
  <si>
    <t>Ausência para treinamento</t>
  </si>
  <si>
    <t>Afastamento de sindicalista</t>
  </si>
  <si>
    <t>Dias não trabalhado no ano</t>
  </si>
  <si>
    <t>Proporção de dias de folga no mês</t>
  </si>
  <si>
    <t>Número anual de dias de trabalho do posto</t>
  </si>
  <si>
    <t>Dias de trabalho - férias</t>
  </si>
  <si>
    <t>Reposição do tempo não trabalhado</t>
  </si>
  <si>
    <t>% referência</t>
  </si>
  <si>
    <t>% reposição</t>
  </si>
  <si>
    <t>MASCULINO</t>
  </si>
  <si>
    <t>FEMININO</t>
  </si>
  <si>
    <t>Meses no Emprego (conforme IBGE)</t>
  </si>
  <si>
    <t>Dias de aviso prévio - parcela mínima</t>
  </si>
  <si>
    <t>Dias de aviso prévio - parcela proporcional</t>
  </si>
  <si>
    <t>Dias de aviso prévio - Total</t>
  </si>
  <si>
    <t>Dias no mês</t>
  </si>
  <si>
    <t>Meses no emprego + dias trabalhados durante AP</t>
  </si>
  <si>
    <t>Incidência dos encargos previdenciários e FGTS sobre férias, 1/3 constitucional e 13º salário</t>
  </si>
  <si>
    <t>Multa do FGTS sobre aviso prévio indenizado</t>
  </si>
  <si>
    <t>Férias + Abono Constitucional (1/3) de Férias</t>
  </si>
  <si>
    <t>Discriminação dos Serviços (dados referentes à contratação)</t>
  </si>
  <si>
    <t>Peça</t>
  </si>
  <si>
    <t>Par</t>
  </si>
  <si>
    <t>Custo Total Mensal</t>
  </si>
  <si>
    <t>Máximo de Vigência:</t>
  </si>
  <si>
    <t>Data Base da Categoria Profissional:</t>
  </si>
  <si>
    <t>Prédio-Sede do TRT/24ª Região</t>
  </si>
  <si>
    <t>Prédio-Sede do Fórum Trabalhista de Campo Grande</t>
  </si>
  <si>
    <t>Local do Posto de Trabalho</t>
  </si>
  <si>
    <t>Mobiliários</t>
  </si>
  <si>
    <t>VALOR TOTAL GERAL DO CONTRATO</t>
  </si>
  <si>
    <t>VALOR TOTAL MENSAL DO CONTRATO</t>
  </si>
  <si>
    <t>Valor Total Mensal do Contrato</t>
  </si>
  <si>
    <t>Prazo de Vigência da Contratação</t>
  </si>
  <si>
    <t>Valor Total Geral do Contrato</t>
  </si>
  <si>
    <t>meses</t>
  </si>
  <si>
    <t>TOTAL GERAL DA CONTRATO</t>
  </si>
  <si>
    <t>3 - ENCARGOS E BENEFÍCIOS</t>
  </si>
  <si>
    <t>4 - UNIFORMES</t>
  </si>
  <si>
    <t>Tributos Federais:</t>
  </si>
  <si>
    <t>Tributos Municipais:</t>
  </si>
  <si>
    <t>Período da semana</t>
  </si>
  <si>
    <t>12x36 / Segunda a sábado</t>
  </si>
  <si>
    <t>12x36 / Integral</t>
  </si>
  <si>
    <t>12x36 / Final de Semana</t>
  </si>
  <si>
    <t>44 h / segunda a sexta-feira</t>
  </si>
  <si>
    <t>44 h / segunda a sábado</t>
  </si>
  <si>
    <t>Adicional de Periculosidade</t>
  </si>
  <si>
    <t>Gratificação por Cargo de Confiança</t>
  </si>
  <si>
    <t>TOTAL (COM ISSQN DE 5%)</t>
  </si>
  <si>
    <t>B.2</t>
  </si>
  <si>
    <t>TOTAL (COM ISSQN DE 3%)</t>
  </si>
  <si>
    <t>Receita Bruta em 12 meses (em R$)</t>
  </si>
  <si>
    <t>PIS/PASEP</t>
  </si>
  <si>
    <t>Até 180.000,00</t>
  </si>
  <si>
    <t>De 180.000,01 a 360.000,00</t>
  </si>
  <si>
    <t>De 360.000,01 a 540.000,00</t>
  </si>
  <si>
    <t>De 540.000,01 a 720.000,00</t>
  </si>
  <si>
    <t>De 720.000,01 a 900.000,00</t>
  </si>
  <si>
    <t>De 900.000,01 a 1.080.000,00</t>
  </si>
  <si>
    <t>De 1.080.000,01 a 1.260.000,00</t>
  </si>
  <si>
    <t>De 1.260.000,01 a 1.440.000,00</t>
  </si>
  <si>
    <t>De 1.440.000,01 a 1.620.000,00</t>
  </si>
  <si>
    <t>De 1.620.000,01 a 1.800.000,00</t>
  </si>
  <si>
    <t>De 1.800.000,01 a 1.980.000,00</t>
  </si>
  <si>
    <t>De 1.980.000,01 a 2.160.000,00</t>
  </si>
  <si>
    <t>De 2.160.000,01 a 2.340.000,00</t>
  </si>
  <si>
    <t>De 2.340.000,01 a 2.520.000,00</t>
  </si>
  <si>
    <t>De 2.520.000,01 a 2.700.000,00</t>
  </si>
  <si>
    <t>De 2.700.000,01 a 2.880.000,00</t>
  </si>
  <si>
    <t>De 2.880.000,01 a 3.060.000,00</t>
  </si>
  <si>
    <t>De 3.060.000,01 a 3.240.000,00</t>
  </si>
  <si>
    <t>De 3.240.000,01 a 3.420.000,00</t>
  </si>
  <si>
    <t>De 3.420.000,01 a 3.600.000,00</t>
  </si>
  <si>
    <t>Simples Nacional</t>
  </si>
  <si>
    <r>
      <t>Obs.</t>
    </r>
    <r>
      <rPr>
        <i/>
        <sz val="10"/>
        <color indexed="10"/>
        <rFont val="Arial"/>
        <family val="2"/>
      </rPr>
      <t xml:space="preserve">: As empresas optantes pelo Simples Nacional poderão participar deste pregão e terão direito ao tratamento diferenciado previsto na Lei Complementar nº 123/2006. No entanto, </t>
    </r>
    <r>
      <rPr>
        <b/>
        <i/>
        <u/>
        <sz val="10"/>
        <color indexed="10"/>
        <rFont val="Arial"/>
        <family val="2"/>
      </rPr>
      <t>caso as empresas sejam vedadas ao ingresso no simples nacional, não poderão apresentar proposta com os benefícios da condição de optante</t>
    </r>
    <r>
      <rPr>
        <i/>
        <sz val="10"/>
        <color indexed="10"/>
        <rFont val="Arial"/>
        <family val="2"/>
      </rPr>
      <t xml:space="preserve"> e, caso venham a ser contratadas, estarão sujeitas à exclusão obrigatória do Simples Nacional, em consequência do que dispõem o art. 17, inciso XII, o art. 30, inciso II, e o art. 31, inciso II, da citada Lei.</t>
    </r>
  </si>
  <si>
    <t>Optante pelo Simples Nacional</t>
  </si>
  <si>
    <t>Selecionar a faixa de Receita Bruta:</t>
  </si>
  <si>
    <t>Serviço de Operação de central de atendimento a usuários (Service Desk)</t>
  </si>
  <si>
    <t>TÉCNICO</t>
  </si>
  <si>
    <t>ANALISTA</t>
  </si>
  <si>
    <t>Sapato (par)</t>
  </si>
  <si>
    <t>Equipamentos</t>
  </si>
  <si>
    <t>Materiais</t>
  </si>
  <si>
    <t>SERVICE DESK</t>
  </si>
  <si>
    <t>5 - PLANILHA DE CUSTOS E FORMAÇÃO DE PREÇOS</t>
  </si>
  <si>
    <t>6 - RESUMO DA PLANILHA DE CUSTOS E FORMAÇÃO DE PREÇOS</t>
  </si>
  <si>
    <t>Folha de Pagamento</t>
  </si>
  <si>
    <t>Receita Bruta</t>
  </si>
  <si>
    <t>Sim</t>
  </si>
  <si>
    <t>Não</t>
  </si>
  <si>
    <r>
      <t>Obs.</t>
    </r>
    <r>
      <rPr>
        <i/>
        <sz val="10"/>
        <color indexed="10"/>
        <rFont val="Arial"/>
        <family val="2"/>
      </rPr>
      <t>: As empresas abrangidas pela Lei nº 12.546/2011, que dispõe sobre a incidência das contribuições previdenciárias sobre o valor da receita bruta, em substituição às contribuições previstas em Lei específca.</t>
    </r>
  </si>
  <si>
    <t>Assistência Médica</t>
  </si>
  <si>
    <t>XX/2020</t>
  </si>
  <si>
    <t>30</t>
  </si>
  <si>
    <t>22098/2020</t>
  </si>
  <si>
    <t>Salário Mínimo definido pelo TRT24: Técnico de Informática</t>
  </si>
  <si>
    <t xml:space="preserve">Técnico de Informática </t>
  </si>
  <si>
    <t>Contratação de empresa para fornecimento de mão de obra para prestação de serviços especializados e contínuos de Tecnologia da Informação para composição de Central de Serviços no modelo ITIL (Information Technology Infrastructure Library), visando atender às necessidades do TRT da 24ª Região</t>
  </si>
  <si>
    <t>Auxílio Alimentação (Analista Supervisor)</t>
  </si>
  <si>
    <t>Auxílio Alimentação (Técnico de Informática)</t>
  </si>
  <si>
    <t>Vale Transporte (Técnico de Informática)</t>
  </si>
  <si>
    <t>Vale Transporte (Analista Supervisor)</t>
  </si>
  <si>
    <t>Salário Mínimo definido pelo TRT24: Analista Supervisor</t>
  </si>
  <si>
    <t>Analista Supervisor</t>
  </si>
  <si>
    <t>Quadro 2.3 - Substituição da Incidência da Contribuição Previdendiária sobre a Folha de Pagamento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</si>
</sst>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(&quot;R$ &quot;* #,##0.00_);_(&quot;R$ &quot;* \(#,##0.00\);_(&quot;R$ &quot;* \-??_);_(@_)"/>
    <numFmt numFmtId="165" formatCode="_(* #,##0.00_);_(* \(#,##0.00\);_(* \-??_);_(@_)"/>
    <numFmt numFmtId="166" formatCode="0&quot; horas&quot;"/>
    <numFmt numFmtId="167" formatCode="dd/mm/yyyy;@"/>
    <numFmt numFmtId="168" formatCode="00000\-000"/>
    <numFmt numFmtId="169" formatCode="00"/>
    <numFmt numFmtId="170" formatCode="####\-####;@"/>
    <numFmt numFmtId="171" formatCode="0.0"/>
    <numFmt numFmtId="172" formatCode="0.0000"/>
    <numFmt numFmtId="173" formatCode="_(&quot;R$ &quot;* #,##0.000_);_(&quot;R$ &quot;* \(#,##0.000\);_(&quot;R$ &quot;* \-??_);_(@_)"/>
    <numFmt numFmtId="174" formatCode="0.000%"/>
    <numFmt numFmtId="175" formatCode="_(* #,##0.000_);_(* \(#,##0.000\);_(* \-???_);_(@_)"/>
    <numFmt numFmtId="176" formatCode="0.000"/>
    <numFmt numFmtId="177" formatCode="00&quot;.&quot;000&quot;.&quot;000&quot;/&quot;0000&quot;-&quot;00"/>
    <numFmt numFmtId="178" formatCode="[$-F400]h:mm:ss\ AM/PM"/>
  </numFmts>
  <fonts count="75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1"/>
      <color indexed="1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4"/>
      <color indexed="10"/>
      <name val="Arial"/>
      <family val="2"/>
    </font>
    <font>
      <sz val="12"/>
      <color indexed="8"/>
      <name val="Arial"/>
      <family val="2"/>
    </font>
    <font>
      <b/>
      <sz val="12"/>
      <color indexed="10"/>
      <name val="Arial"/>
      <family val="2"/>
    </font>
    <font>
      <b/>
      <u/>
      <sz val="14"/>
      <color indexed="17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sz val="12"/>
      <color indexed="17"/>
      <name val="Arial"/>
      <family val="2"/>
    </font>
    <font>
      <b/>
      <u/>
      <sz val="12"/>
      <color indexed="17"/>
      <name val="Arial"/>
      <family val="2"/>
    </font>
    <font>
      <u/>
      <sz val="11"/>
      <color indexed="17"/>
      <name val="Arial"/>
      <family val="2"/>
    </font>
    <font>
      <sz val="11"/>
      <color indexed="17"/>
      <name val="Arial"/>
      <family val="2"/>
    </font>
    <font>
      <i/>
      <sz val="12"/>
      <color indexed="17"/>
      <name val="Arial"/>
      <family val="2"/>
    </font>
    <font>
      <u/>
      <sz val="10"/>
      <color indexed="12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8"/>
      <color indexed="9"/>
      <name val="Arial"/>
      <family val="2"/>
    </font>
    <font>
      <b/>
      <sz val="11"/>
      <color indexed="9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sz val="8"/>
      <name val="Arial"/>
      <family val="2"/>
    </font>
    <font>
      <strike/>
      <sz val="10"/>
      <color indexed="8"/>
      <name val="Arial"/>
      <family val="2"/>
    </font>
    <font>
      <b/>
      <i/>
      <u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10"/>
      <color indexed="56"/>
      <name val="Arial"/>
      <family val="2"/>
    </font>
    <font>
      <b/>
      <sz val="8"/>
      <color indexed="56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8"/>
      <color indexed="60"/>
      <name val="Arial"/>
      <family val="2"/>
    </font>
    <font>
      <b/>
      <i/>
      <sz val="8"/>
      <name val="Arial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sz val="8"/>
      <color indexed="63"/>
      <name val="Symbol"/>
      <family val="1"/>
      <charset val="2"/>
    </font>
    <font>
      <sz val="8"/>
      <name val="Symbol"/>
      <family val="1"/>
      <charset val="2"/>
    </font>
    <font>
      <sz val="8"/>
      <color indexed="56"/>
      <name val="Arial"/>
      <family val="2"/>
    </font>
    <font>
      <b/>
      <sz val="8"/>
      <color indexed="10"/>
      <name val="Arial"/>
      <family val="2"/>
    </font>
    <font>
      <b/>
      <i/>
      <sz val="8"/>
      <color indexed="10"/>
      <name val="Arial"/>
      <family val="2"/>
    </font>
    <font>
      <b/>
      <i/>
      <sz val="8"/>
      <color indexed="62"/>
      <name val="Arial"/>
      <family val="2"/>
    </font>
    <font>
      <b/>
      <sz val="8"/>
      <color indexed="62"/>
      <name val="Arial"/>
      <family val="2"/>
    </font>
    <font>
      <b/>
      <sz val="7"/>
      <color indexed="56"/>
      <name val="Arial"/>
      <family val="2"/>
    </font>
    <font>
      <sz val="8"/>
      <color indexed="9"/>
      <name val="Arial"/>
      <family val="2"/>
    </font>
    <font>
      <b/>
      <sz val="8"/>
      <color indexed="17"/>
      <name val="Arial"/>
      <family val="2"/>
    </font>
    <font>
      <b/>
      <i/>
      <sz val="8"/>
      <color indexed="56"/>
      <name val="Arial"/>
      <family val="2"/>
    </font>
    <font>
      <b/>
      <sz val="10"/>
      <color indexed="10"/>
      <name val="Arial"/>
      <family val="2"/>
    </font>
    <font>
      <sz val="8"/>
      <color indexed="60"/>
      <name val="Arial"/>
      <family val="2"/>
    </font>
    <font>
      <b/>
      <i/>
      <sz val="8"/>
      <color indexed="60"/>
      <name val="Arial"/>
      <family val="2"/>
    </font>
    <font>
      <b/>
      <sz val="14"/>
      <color indexed="56"/>
      <name val="Arial"/>
      <family val="2"/>
    </font>
    <font>
      <b/>
      <sz val="12"/>
      <color indexed="56"/>
      <name val="Arial"/>
      <family val="2"/>
    </font>
    <font>
      <b/>
      <sz val="8"/>
      <color indexed="81"/>
      <name val="Tahoma"/>
      <family val="2"/>
    </font>
    <font>
      <i/>
      <sz val="10"/>
      <color indexed="10"/>
      <name val="Arial"/>
      <family val="2"/>
    </font>
    <font>
      <sz val="10"/>
      <name val="Arial"/>
      <family val="2"/>
    </font>
    <font>
      <b/>
      <u/>
      <sz val="8"/>
      <color indexed="10"/>
      <name val="Arial"/>
      <family val="2"/>
    </font>
    <font>
      <sz val="10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1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25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4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1"/>
      </patternFill>
    </fill>
    <fill>
      <patternFill patternType="solid">
        <fgColor indexed="41"/>
        <bgColor indexed="24"/>
      </patternFill>
    </fill>
    <fill>
      <patternFill patternType="solid">
        <fgColor indexed="23"/>
        <bgColor indexed="55"/>
      </patternFill>
    </fill>
    <fill>
      <patternFill patternType="solid">
        <fgColor indexed="44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50"/>
      </patternFill>
    </fill>
    <fill>
      <patternFill patternType="solid">
        <fgColor indexed="23"/>
        <bgColor indexed="26"/>
      </patternFill>
    </fill>
    <fill>
      <patternFill patternType="solid">
        <fgColor indexed="51"/>
        <bgColor indexed="52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26"/>
      </patternFill>
    </fill>
    <fill>
      <patternFill patternType="solid">
        <fgColor indexed="42"/>
        <bgColor indexed="26"/>
      </patternFill>
    </fill>
  </fills>
  <borders count="20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medium">
        <color indexed="9"/>
      </top>
      <bottom/>
      <diagonal/>
    </border>
    <border>
      <left/>
      <right style="medium">
        <color indexed="8"/>
      </right>
      <top style="medium">
        <color indexed="9"/>
      </top>
      <bottom/>
      <diagonal/>
    </border>
    <border>
      <left style="medium">
        <color indexed="9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9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9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ck">
        <color indexed="9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3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indexed="23"/>
      </top>
      <bottom style="thin">
        <color indexed="22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9"/>
      </right>
      <top style="thin">
        <color indexed="22"/>
      </top>
      <bottom style="thin">
        <color indexed="22"/>
      </bottom>
      <diagonal/>
    </border>
    <border>
      <left style="medium">
        <color indexed="60"/>
      </left>
      <right style="medium">
        <color indexed="60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 style="thick">
        <color indexed="9"/>
      </left>
      <right/>
      <top style="thin">
        <color indexed="22"/>
      </top>
      <bottom style="thick">
        <color indexed="9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ck">
        <color indexed="9"/>
      </left>
      <right/>
      <top style="thick">
        <color indexed="9"/>
      </top>
      <bottom style="thin">
        <color indexed="22"/>
      </bottom>
      <diagonal/>
    </border>
    <border>
      <left style="thick">
        <color indexed="9"/>
      </left>
      <right/>
      <top/>
      <bottom/>
      <diagonal/>
    </border>
    <border>
      <left style="thick">
        <color indexed="9"/>
      </left>
      <right style="thin">
        <color indexed="9"/>
      </right>
      <top style="thin">
        <color indexed="22"/>
      </top>
      <bottom/>
      <diagonal/>
    </border>
    <border>
      <left/>
      <right/>
      <top style="thin">
        <color indexed="22"/>
      </top>
      <bottom style="thick">
        <color indexed="9"/>
      </bottom>
      <diagonal/>
    </border>
    <border>
      <left/>
      <right/>
      <top style="thick">
        <color indexed="9"/>
      </top>
      <bottom style="thin">
        <color indexed="22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 style="thick">
        <color indexed="9"/>
      </left>
      <right style="thin">
        <color indexed="9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/>
      <bottom style="thin">
        <color indexed="22"/>
      </bottom>
      <diagonal/>
    </border>
    <border>
      <left style="thick">
        <color indexed="9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medium">
        <color indexed="22"/>
      </left>
      <right style="medium">
        <color indexed="22"/>
      </right>
      <top style="thin">
        <color indexed="22"/>
      </top>
      <bottom/>
      <diagonal/>
    </border>
    <border>
      <left style="thick">
        <color indexed="9"/>
      </left>
      <right style="thin">
        <color indexed="9"/>
      </right>
      <top style="medium">
        <color indexed="22"/>
      </top>
      <bottom style="thin">
        <color indexed="22"/>
      </bottom>
      <diagonal/>
    </border>
    <border>
      <left/>
      <right/>
      <top style="medium">
        <color indexed="22"/>
      </top>
      <bottom style="thin">
        <color indexed="22"/>
      </bottom>
      <diagonal/>
    </border>
    <border>
      <left style="medium">
        <color indexed="60"/>
      </left>
      <right style="medium">
        <color indexed="60"/>
      </right>
      <top style="medium">
        <color indexed="22"/>
      </top>
      <bottom style="thin">
        <color indexed="22"/>
      </bottom>
      <diagonal/>
    </border>
    <border>
      <left style="thick">
        <color indexed="9"/>
      </left>
      <right style="thin">
        <color indexed="9"/>
      </right>
      <top style="thin">
        <color indexed="22"/>
      </top>
      <bottom style="medium">
        <color indexed="22"/>
      </bottom>
      <diagonal/>
    </border>
    <border>
      <left/>
      <right/>
      <top/>
      <bottom style="medium">
        <color indexed="22"/>
      </bottom>
      <diagonal/>
    </border>
    <border>
      <left style="medium">
        <color indexed="60"/>
      </left>
      <right style="medium">
        <color indexed="60"/>
      </right>
      <top style="thin">
        <color indexed="22"/>
      </top>
      <bottom style="medium">
        <color indexed="22"/>
      </bottom>
      <diagonal/>
    </border>
    <border>
      <left/>
      <right style="thick">
        <color indexed="9"/>
      </right>
      <top style="thin">
        <color indexed="22"/>
      </top>
      <bottom style="thin">
        <color indexed="22"/>
      </bottom>
      <diagonal/>
    </border>
    <border>
      <left/>
      <right style="thick">
        <color indexed="9"/>
      </right>
      <top style="thin">
        <color indexed="22"/>
      </top>
      <bottom/>
      <diagonal/>
    </border>
    <border>
      <left/>
      <right style="thick">
        <color indexed="9"/>
      </right>
      <top/>
      <bottom/>
      <diagonal/>
    </border>
    <border>
      <left/>
      <right style="thick">
        <color indexed="9"/>
      </right>
      <top/>
      <bottom style="thin">
        <color indexed="22"/>
      </bottom>
      <diagonal/>
    </border>
    <border>
      <left style="thick">
        <color indexed="9"/>
      </left>
      <right style="thick">
        <color indexed="9"/>
      </right>
      <top style="thin">
        <color indexed="22"/>
      </top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n">
        <color indexed="22"/>
      </bottom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n">
        <color indexed="22"/>
      </top>
      <bottom style="thin">
        <color indexed="22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thick">
        <color indexed="9"/>
      </right>
      <top/>
      <bottom style="thin">
        <color indexed="22"/>
      </bottom>
      <diagonal/>
    </border>
    <border>
      <left style="thick">
        <color indexed="9"/>
      </left>
      <right style="medium">
        <color indexed="9"/>
      </right>
      <top/>
      <bottom style="thin">
        <color indexed="23"/>
      </bottom>
      <diagonal/>
    </border>
    <border>
      <left/>
      <right/>
      <top style="medium">
        <color indexed="9"/>
      </top>
      <bottom style="thin">
        <color indexed="22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ck">
        <color indexed="9"/>
      </left>
      <right style="medium">
        <color indexed="9"/>
      </right>
      <top/>
      <bottom style="thin">
        <color indexed="9"/>
      </bottom>
      <diagonal/>
    </border>
    <border>
      <left style="medium">
        <color indexed="22"/>
      </left>
      <right style="thin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9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medium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/>
      <bottom style="thin">
        <color indexed="22"/>
      </bottom>
      <diagonal/>
    </border>
    <border>
      <left style="thick">
        <color indexed="9"/>
      </left>
      <right style="medium">
        <color indexed="9"/>
      </right>
      <top style="thin">
        <color indexed="22"/>
      </top>
      <bottom style="thick">
        <color indexed="9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 style="medium">
        <color indexed="22"/>
      </left>
      <right style="thin">
        <color indexed="22"/>
      </right>
      <top style="medium">
        <color indexed="9"/>
      </top>
      <bottom style="medium">
        <color indexed="9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/>
      <right style="medium">
        <color indexed="22"/>
      </right>
      <top/>
      <bottom style="thin">
        <color indexed="22"/>
      </bottom>
      <diagonal/>
    </border>
    <border>
      <left style="thick">
        <color indexed="9"/>
      </left>
      <right/>
      <top/>
      <bottom style="medium">
        <color indexed="22"/>
      </bottom>
      <diagonal/>
    </border>
    <border>
      <left style="thick">
        <color indexed="9"/>
      </left>
      <right/>
      <top style="thin">
        <color indexed="22"/>
      </top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 style="medium">
        <color indexed="22"/>
      </left>
      <right style="thin">
        <color indexed="22"/>
      </right>
      <top/>
      <bottom style="thin">
        <color indexed="22"/>
      </bottom>
      <diagonal/>
    </border>
    <border>
      <left style="thick">
        <color indexed="9"/>
      </left>
      <right style="thick">
        <color indexed="9"/>
      </right>
      <top/>
      <bottom style="medium">
        <color indexed="22"/>
      </bottom>
      <diagonal/>
    </border>
    <border>
      <left style="thin">
        <color indexed="22"/>
      </left>
      <right style="medium">
        <color indexed="22"/>
      </right>
      <top style="medium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medium">
        <color indexed="9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medium">
        <color indexed="9"/>
      </right>
      <top style="thin">
        <color indexed="22"/>
      </top>
      <bottom/>
      <diagonal/>
    </border>
    <border>
      <left style="medium">
        <color indexed="9"/>
      </left>
      <right style="medium">
        <color indexed="9"/>
      </right>
      <top style="thin">
        <color indexed="22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/>
      <top style="thin">
        <color indexed="23"/>
      </top>
      <bottom style="thin">
        <color indexed="2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/>
      <bottom style="thin">
        <color indexed="23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3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22"/>
      </left>
      <right style="medium">
        <color indexed="22"/>
      </right>
      <top/>
      <bottom style="thick">
        <color indexed="9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9"/>
      </left>
      <right/>
      <top style="thin">
        <color indexed="22"/>
      </top>
      <bottom style="medium">
        <color indexed="9"/>
      </bottom>
      <diagonal/>
    </border>
    <border>
      <left style="medium">
        <color indexed="9"/>
      </left>
      <right/>
      <top style="medium">
        <color indexed="9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22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/>
      <top style="thin">
        <color indexed="22"/>
      </top>
      <bottom style="medium">
        <color indexed="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3"/>
      </bottom>
      <diagonal/>
    </border>
    <border>
      <left/>
      <right style="medium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thin">
        <color indexed="23"/>
      </bottom>
      <diagonal/>
    </border>
    <border>
      <left/>
      <right style="medium">
        <color indexed="22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2"/>
      </top>
      <bottom style="thin">
        <color indexed="23"/>
      </bottom>
      <diagonal/>
    </border>
    <border>
      <left style="medium">
        <color indexed="22"/>
      </left>
      <right/>
      <top style="thin">
        <color indexed="23"/>
      </top>
      <bottom style="thin">
        <color indexed="23"/>
      </bottom>
      <diagonal/>
    </border>
    <border>
      <left style="medium">
        <color indexed="22"/>
      </left>
      <right/>
      <top style="thin">
        <color indexed="23"/>
      </top>
      <bottom/>
      <diagonal/>
    </border>
    <border>
      <left/>
      <right style="medium">
        <color indexed="22"/>
      </right>
      <top style="thin">
        <color indexed="23"/>
      </top>
      <bottom/>
      <diagonal/>
    </border>
    <border>
      <left/>
      <right style="medium">
        <color indexed="22"/>
      </right>
      <top style="thin">
        <color indexed="23"/>
      </top>
      <bottom style="thin">
        <color indexed="22"/>
      </bottom>
      <diagonal/>
    </border>
    <border>
      <left style="medium">
        <color indexed="22"/>
      </left>
      <right/>
      <top style="thin">
        <color indexed="23"/>
      </top>
      <bottom style="thin">
        <color indexed="8"/>
      </bottom>
      <diagonal/>
    </border>
    <border>
      <left/>
      <right style="medium">
        <color indexed="22"/>
      </right>
      <top style="thin">
        <color indexed="23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5"/>
      </left>
      <right/>
      <top style="medium">
        <color indexed="55"/>
      </top>
      <bottom style="thin">
        <color indexed="55"/>
      </bottom>
      <diagonal/>
    </border>
    <border>
      <left/>
      <right/>
      <top style="medium">
        <color indexed="55"/>
      </top>
      <bottom style="thin">
        <color indexed="55"/>
      </bottom>
      <diagonal/>
    </border>
    <border>
      <left style="medium">
        <color indexed="55"/>
      </left>
      <right/>
      <top style="thin">
        <color indexed="55"/>
      </top>
      <bottom style="medium">
        <color indexed="55"/>
      </bottom>
      <diagonal/>
    </border>
    <border>
      <left/>
      <right/>
      <top style="thin">
        <color indexed="55"/>
      </top>
      <bottom style="medium">
        <color indexed="55"/>
      </bottom>
      <diagonal/>
    </border>
    <border>
      <left style="thin">
        <color indexed="55"/>
      </left>
      <right/>
      <top style="thin">
        <color indexed="55"/>
      </top>
      <bottom style="medium">
        <color indexed="55"/>
      </bottom>
      <diagonal/>
    </border>
    <border>
      <left/>
      <right style="medium">
        <color indexed="55"/>
      </right>
      <top style="thin">
        <color indexed="55"/>
      </top>
      <bottom style="medium">
        <color indexed="55"/>
      </bottom>
      <diagonal/>
    </border>
    <border>
      <left/>
      <right/>
      <top style="thick">
        <color indexed="9"/>
      </top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medium">
        <color indexed="55"/>
      </top>
      <bottom style="thin">
        <color indexed="55"/>
      </bottom>
      <diagonal/>
    </border>
    <border>
      <left/>
      <right style="thin">
        <color indexed="55"/>
      </right>
      <top style="medium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/>
      <top/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 style="thin">
        <color indexed="23"/>
      </bottom>
      <diagonal/>
    </border>
    <border>
      <left/>
      <right style="medium">
        <color indexed="22"/>
      </right>
      <top style="thin">
        <color indexed="22"/>
      </top>
      <bottom style="medium">
        <color indexed="9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 style="medium">
        <color indexed="23"/>
      </right>
      <top style="thin">
        <color indexed="23"/>
      </top>
      <bottom style="medium">
        <color indexed="23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/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164" fontId="72" fillId="0" borderId="0" applyFill="0" applyBorder="0" applyAlignment="0" applyProtection="0"/>
    <xf numFmtId="164" fontId="72" fillId="0" borderId="0" applyFill="0" applyBorder="0" applyAlignment="0" applyProtection="0"/>
    <xf numFmtId="0" fontId="1" fillId="0" borderId="0"/>
    <xf numFmtId="0" fontId="72" fillId="23" borderId="4" applyNumberFormat="0" applyAlignment="0" applyProtection="0"/>
    <xf numFmtId="9" fontId="72" fillId="0" borderId="0" applyFill="0" applyBorder="0" applyAlignment="0" applyProtection="0"/>
    <xf numFmtId="9" fontId="72" fillId="0" borderId="0" applyFill="0" applyBorder="0" applyAlignment="0" applyProtection="0"/>
    <xf numFmtId="9" fontId="72" fillId="0" borderId="0" applyFill="0" applyBorder="0" applyAlignment="0" applyProtection="0"/>
    <xf numFmtId="0" fontId="9" fillId="16" borderId="5" applyNumberFormat="0" applyAlignment="0" applyProtection="0"/>
    <xf numFmtId="165" fontId="72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9" applyNumberFormat="0" applyFill="0" applyAlignment="0" applyProtection="0"/>
  </cellStyleXfs>
  <cellXfs count="512">
    <xf numFmtId="0" fontId="0" fillId="0" borderId="0" xfId="0"/>
    <xf numFmtId="0" fontId="18" fillId="0" borderId="0" xfId="34" applyFont="1" applyAlignment="1">
      <alignment vertical="center"/>
    </xf>
    <xf numFmtId="0" fontId="19" fillId="0" borderId="0" xfId="34" applyFont="1" applyAlignment="1">
      <alignment horizontal="center" vertical="center"/>
    </xf>
    <xf numFmtId="0" fontId="19" fillId="0" borderId="0" xfId="34" applyFont="1" applyAlignment="1">
      <alignment horizontal="center" vertical="center" wrapText="1"/>
    </xf>
    <xf numFmtId="166" fontId="18" fillId="0" borderId="0" xfId="34" applyNumberFormat="1" applyFont="1" applyAlignment="1">
      <alignment horizontal="center" vertical="center"/>
    </xf>
    <xf numFmtId="0" fontId="18" fillId="0" borderId="0" xfId="34" applyNumberFormat="1" applyFont="1" applyAlignment="1">
      <alignment horizontal="center" vertical="center"/>
    </xf>
    <xf numFmtId="10" fontId="18" fillId="0" borderId="0" xfId="38" applyNumberFormat="1" applyFont="1" applyFill="1" applyBorder="1" applyAlignment="1" applyProtection="1">
      <alignment vertical="center"/>
    </xf>
    <xf numFmtId="0" fontId="18" fillId="0" borderId="0" xfId="34" applyFont="1" applyAlignment="1">
      <alignment horizontal="center" vertical="center"/>
    </xf>
    <xf numFmtId="0" fontId="20" fillId="0" borderId="0" xfId="34" applyNumberFormat="1" applyFont="1" applyAlignment="1">
      <alignment vertical="center"/>
    </xf>
    <xf numFmtId="0" fontId="1" fillId="0" borderId="0" xfId="34"/>
    <xf numFmtId="0" fontId="1" fillId="0" borderId="10" xfId="34" applyBorder="1"/>
    <xf numFmtId="0" fontId="1" fillId="0" borderId="11" xfId="34" applyBorder="1"/>
    <xf numFmtId="0" fontId="1" fillId="0" borderId="12" xfId="34" applyBorder="1"/>
    <xf numFmtId="0" fontId="18" fillId="0" borderId="13" xfId="34" applyFont="1" applyBorder="1" applyAlignment="1">
      <alignment vertical="center"/>
    </xf>
    <xf numFmtId="0" fontId="18" fillId="0" borderId="14" xfId="34" applyFont="1" applyBorder="1" applyAlignment="1">
      <alignment vertical="center"/>
    </xf>
    <xf numFmtId="0" fontId="18" fillId="0" borderId="0" xfId="34" applyFont="1" applyBorder="1" applyAlignment="1">
      <alignment vertical="center"/>
    </xf>
    <xf numFmtId="0" fontId="25" fillId="0" borderId="0" xfId="34" applyFont="1" applyBorder="1" applyAlignment="1" applyProtection="1">
      <alignment horizontal="justify" vertical="center" wrapText="1"/>
      <protection hidden="1"/>
    </xf>
    <xf numFmtId="0" fontId="25" fillId="24" borderId="0" xfId="34" applyFont="1" applyFill="1" applyBorder="1" applyAlignment="1" applyProtection="1">
      <alignment horizontal="center" vertical="center" wrapText="1"/>
      <protection hidden="1"/>
    </xf>
    <xf numFmtId="0" fontId="26" fillId="0" borderId="0" xfId="34" applyFont="1" applyBorder="1" applyAlignment="1">
      <alignment vertical="center"/>
    </xf>
    <xf numFmtId="0" fontId="26" fillId="0" borderId="0" xfId="34" applyFont="1" applyBorder="1" applyAlignment="1" applyProtection="1">
      <alignment horizontal="justify" vertical="center" wrapText="1"/>
      <protection hidden="1"/>
    </xf>
    <xf numFmtId="0" fontId="26" fillId="0" borderId="0" xfId="34" applyFont="1" applyBorder="1" applyAlignment="1" applyProtection="1">
      <alignment horizontal="left" vertical="center" wrapText="1" indent="3"/>
      <protection hidden="1"/>
    </xf>
    <xf numFmtId="0" fontId="18" fillId="0" borderId="15" xfId="34" applyFont="1" applyBorder="1" applyAlignment="1">
      <alignment vertical="center"/>
    </xf>
    <xf numFmtId="0" fontId="18" fillId="0" borderId="16" xfId="34" applyFont="1" applyBorder="1" applyAlignment="1">
      <alignment vertical="center"/>
    </xf>
    <xf numFmtId="0" fontId="18" fillId="0" borderId="17" xfId="34" applyFont="1" applyBorder="1" applyAlignment="1">
      <alignment vertical="center"/>
    </xf>
    <xf numFmtId="0" fontId="18" fillId="0" borderId="0" xfId="34" applyFont="1" applyAlignment="1" applyProtection="1">
      <alignment vertical="center"/>
      <protection hidden="1"/>
    </xf>
    <xf numFmtId="0" fontId="34" fillId="0" borderId="0" xfId="34" applyFont="1" applyAlignment="1" applyProtection="1">
      <alignment vertical="center"/>
      <protection hidden="1"/>
    </xf>
    <xf numFmtId="0" fontId="33" fillId="0" borderId="0" xfId="34" applyFont="1" applyAlignment="1" applyProtection="1">
      <alignment vertical="center"/>
      <protection hidden="1"/>
    </xf>
    <xf numFmtId="0" fontId="20" fillId="0" borderId="18" xfId="34" applyNumberFormat="1" applyFont="1" applyBorder="1" applyAlignment="1" applyProtection="1">
      <alignment horizontal="center" vertical="center"/>
      <protection hidden="1"/>
    </xf>
    <xf numFmtId="0" fontId="37" fillId="18" borderId="19" xfId="34" applyFont="1" applyFill="1" applyBorder="1" applyAlignment="1" applyProtection="1">
      <alignment horizontal="center" vertical="center"/>
      <protection hidden="1"/>
    </xf>
    <xf numFmtId="0" fontId="37" fillId="18" borderId="20" xfId="34" applyFont="1" applyFill="1" applyBorder="1" applyAlignment="1" applyProtection="1">
      <alignment horizontal="center" vertical="center" wrapText="1"/>
      <protection hidden="1"/>
    </xf>
    <xf numFmtId="0" fontId="37" fillId="18" borderId="20" xfId="34" applyFont="1" applyFill="1" applyBorder="1" applyAlignment="1" applyProtection="1">
      <alignment horizontal="center" vertical="center"/>
      <protection hidden="1"/>
    </xf>
    <xf numFmtId="0" fontId="37" fillId="18" borderId="21" xfId="34" applyFont="1" applyFill="1" applyBorder="1" applyAlignment="1" applyProtection="1">
      <alignment horizontal="center" vertical="center" wrapText="1"/>
      <protection hidden="1"/>
    </xf>
    <xf numFmtId="0" fontId="37" fillId="18" borderId="19" xfId="34" applyFont="1" applyFill="1" applyBorder="1" applyAlignment="1" applyProtection="1">
      <alignment horizontal="center" vertical="center" wrapText="1"/>
      <protection hidden="1"/>
    </xf>
    <xf numFmtId="0" fontId="18" fillId="0" borderId="22" xfId="34" applyFont="1" applyBorder="1" applyAlignment="1" applyProtection="1">
      <alignment horizontal="center" vertical="center"/>
      <protection hidden="1"/>
    </xf>
    <xf numFmtId="0" fontId="18" fillId="0" borderId="23" xfId="34" applyFont="1" applyBorder="1" applyAlignment="1">
      <alignment vertical="center" wrapText="1"/>
    </xf>
    <xf numFmtId="0" fontId="18" fillId="0" borderId="23" xfId="34" applyFont="1" applyBorder="1" applyAlignment="1" applyProtection="1">
      <alignment horizontal="center" vertical="center" wrapText="1"/>
      <protection hidden="1"/>
    </xf>
    <xf numFmtId="0" fontId="18" fillId="0" borderId="23" xfId="34" applyFont="1" applyBorder="1" applyAlignment="1" applyProtection="1">
      <alignment horizontal="center" vertical="center"/>
      <protection hidden="1"/>
    </xf>
    <xf numFmtId="166" fontId="18" fillId="0" borderId="24" xfId="34" applyNumberFormat="1" applyFont="1" applyBorder="1" applyAlignment="1" applyProtection="1">
      <alignment horizontal="center" vertical="center"/>
      <protection hidden="1"/>
    </xf>
    <xf numFmtId="0" fontId="36" fillId="2" borderId="24" xfId="34" applyFont="1" applyFill="1" applyBorder="1" applyAlignment="1" applyProtection="1">
      <alignment horizontal="center" vertical="center"/>
      <protection hidden="1"/>
    </xf>
    <xf numFmtId="0" fontId="18" fillId="0" borderId="25" xfId="34" applyFont="1" applyBorder="1" applyAlignment="1" applyProtection="1">
      <alignment horizontal="center" vertical="center"/>
      <protection hidden="1"/>
    </xf>
    <xf numFmtId="0" fontId="18" fillId="0" borderId="26" xfId="34" applyFont="1" applyBorder="1" applyAlignment="1">
      <alignment vertical="center" wrapText="1"/>
    </xf>
    <xf numFmtId="0" fontId="18" fillId="0" borderId="26" xfId="34" applyFont="1" applyBorder="1" applyAlignment="1" applyProtection="1">
      <alignment horizontal="center" vertical="center" wrapText="1"/>
      <protection hidden="1"/>
    </xf>
    <xf numFmtId="0" fontId="18" fillId="0" borderId="26" xfId="34" applyFont="1" applyBorder="1" applyAlignment="1" applyProtection="1">
      <alignment horizontal="center" vertical="center"/>
      <protection hidden="1"/>
    </xf>
    <xf numFmtId="166" fontId="18" fillId="0" borderId="27" xfId="34" applyNumberFormat="1" applyFont="1" applyBorder="1" applyAlignment="1" applyProtection="1">
      <alignment horizontal="center" vertical="center"/>
      <protection hidden="1"/>
    </xf>
    <xf numFmtId="0" fontId="36" fillId="2" borderId="27" xfId="34" applyFont="1" applyFill="1" applyBorder="1" applyAlignment="1" applyProtection="1">
      <alignment horizontal="center" vertical="center"/>
      <protection hidden="1"/>
    </xf>
    <xf numFmtId="0" fontId="18" fillId="0" borderId="28" xfId="34" applyFont="1" applyBorder="1" applyAlignment="1" applyProtection="1">
      <alignment horizontal="center" vertical="center"/>
      <protection hidden="1"/>
    </xf>
    <xf numFmtId="0" fontId="38" fillId="18" borderId="29" xfId="34" applyFont="1" applyFill="1" applyBorder="1" applyAlignment="1" applyProtection="1">
      <alignment horizontal="center" vertical="center"/>
      <protection hidden="1"/>
    </xf>
    <xf numFmtId="0" fontId="38" fillId="18" borderId="30" xfId="34" applyFont="1" applyFill="1" applyBorder="1" applyAlignment="1" applyProtection="1">
      <alignment horizontal="center" vertical="center"/>
      <protection hidden="1"/>
    </xf>
    <xf numFmtId="0" fontId="38" fillId="18" borderId="31" xfId="34" applyFont="1" applyFill="1" applyBorder="1" applyAlignment="1" applyProtection="1">
      <alignment horizontal="center" vertical="center"/>
      <protection hidden="1"/>
    </xf>
    <xf numFmtId="0" fontId="36" fillId="24" borderId="32" xfId="34" applyNumberFormat="1" applyFont="1" applyFill="1" applyBorder="1" applyAlignment="1" applyProtection="1">
      <alignment horizontal="center" vertical="center"/>
      <protection locked="0"/>
    </xf>
    <xf numFmtId="169" fontId="36" fillId="24" borderId="32" xfId="34" applyNumberFormat="1" applyFont="1" applyFill="1" applyBorder="1" applyAlignment="1" applyProtection="1">
      <alignment horizontal="center" vertical="center"/>
      <protection locked="0"/>
    </xf>
    <xf numFmtId="170" fontId="36" fillId="24" borderId="32" xfId="34" applyNumberFormat="1" applyFont="1" applyFill="1" applyBorder="1" applyAlignment="1" applyProtection="1">
      <alignment horizontal="center" vertical="center"/>
      <protection locked="0"/>
    </xf>
    <xf numFmtId="0" fontId="36" fillId="0" borderId="32" xfId="34" applyNumberFormat="1" applyFont="1" applyFill="1" applyBorder="1" applyAlignment="1" applyProtection="1">
      <alignment horizontal="center" vertical="center"/>
      <protection hidden="1"/>
    </xf>
    <xf numFmtId="169" fontId="36" fillId="0" borderId="32" xfId="34" applyNumberFormat="1" applyFont="1" applyFill="1" applyBorder="1" applyAlignment="1" applyProtection="1">
      <alignment horizontal="center" vertical="center"/>
      <protection hidden="1"/>
    </xf>
    <xf numFmtId="0" fontId="18" fillId="24" borderId="0" xfId="34" applyFont="1" applyFill="1" applyBorder="1" applyAlignment="1" applyProtection="1">
      <alignment vertical="center"/>
      <protection hidden="1"/>
    </xf>
    <xf numFmtId="0" fontId="36" fillId="2" borderId="22" xfId="34" applyFont="1" applyFill="1" applyBorder="1" applyAlignment="1" applyProtection="1">
      <alignment horizontal="center" vertical="center"/>
      <protection hidden="1"/>
    </xf>
    <xf numFmtId="0" fontId="36" fillId="2" borderId="33" xfId="34" applyFont="1" applyFill="1" applyBorder="1" applyAlignment="1" applyProtection="1">
      <alignment vertical="center"/>
      <protection hidden="1"/>
    </xf>
    <xf numFmtId="0" fontId="36" fillId="2" borderId="34" xfId="34" applyFont="1" applyFill="1" applyBorder="1" applyAlignment="1" applyProtection="1">
      <alignment vertical="center"/>
      <protection hidden="1"/>
    </xf>
    <xf numFmtId="0" fontId="18" fillId="0" borderId="0" xfId="34" applyFont="1" applyBorder="1" applyAlignment="1" applyProtection="1">
      <alignment vertical="center"/>
      <protection hidden="1"/>
    </xf>
    <xf numFmtId="0" fontId="18" fillId="0" borderId="35" xfId="34" applyFont="1" applyBorder="1" applyAlignment="1" applyProtection="1">
      <alignment vertical="center"/>
      <protection hidden="1"/>
    </xf>
    <xf numFmtId="0" fontId="18" fillId="0" borderId="36" xfId="34" applyFont="1" applyBorder="1" applyAlignment="1" applyProtection="1">
      <alignment vertical="center"/>
      <protection hidden="1"/>
    </xf>
    <xf numFmtId="0" fontId="18" fillId="0" borderId="37" xfId="34" applyFont="1" applyBorder="1" applyAlignment="1" applyProtection="1">
      <alignment horizontal="center" vertical="center"/>
      <protection hidden="1"/>
    </xf>
    <xf numFmtId="0" fontId="18" fillId="0" borderId="38" xfId="34" applyFont="1" applyBorder="1" applyAlignment="1" applyProtection="1">
      <alignment vertical="center"/>
      <protection hidden="1"/>
    </xf>
    <xf numFmtId="0" fontId="18" fillId="0" borderId="39" xfId="34" applyFont="1" applyBorder="1" applyAlignment="1" applyProtection="1">
      <alignment vertical="center"/>
      <protection hidden="1"/>
    </xf>
    <xf numFmtId="0" fontId="18" fillId="0" borderId="40" xfId="34" applyFont="1" applyBorder="1" applyAlignment="1" applyProtection="1">
      <alignment vertical="center"/>
      <protection hidden="1"/>
    </xf>
    <xf numFmtId="0" fontId="18" fillId="0" borderId="41" xfId="34" applyFont="1" applyBorder="1" applyAlignment="1" applyProtection="1">
      <alignment vertical="center"/>
      <protection hidden="1"/>
    </xf>
    <xf numFmtId="0" fontId="42" fillId="0" borderId="0" xfId="34" applyFont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46" fillId="25" borderId="42" xfId="0" applyFont="1" applyFill="1" applyBorder="1" applyAlignment="1" applyProtection="1">
      <alignment horizontal="left" vertical="center"/>
    </xf>
    <xf numFmtId="0" fontId="47" fillId="25" borderId="43" xfId="0" applyFont="1" applyFill="1" applyBorder="1" applyAlignment="1" applyProtection="1">
      <alignment horizontal="left" vertical="center"/>
    </xf>
    <xf numFmtId="0" fontId="47" fillId="25" borderId="0" xfId="0" applyFont="1" applyFill="1" applyBorder="1" applyAlignment="1" applyProtection="1">
      <alignment horizontal="left" vertical="center"/>
    </xf>
    <xf numFmtId="169" fontId="48" fillId="25" borderId="44" xfId="0" applyNumberFormat="1" applyFont="1" applyFill="1" applyBorder="1" applyAlignment="1" applyProtection="1">
      <alignment horizontal="center" vertical="center"/>
    </xf>
    <xf numFmtId="0" fontId="41" fillId="25" borderId="45" xfId="0" applyFont="1" applyFill="1" applyBorder="1" applyAlignment="1" applyProtection="1">
      <alignment vertical="center"/>
    </xf>
    <xf numFmtId="10" fontId="49" fillId="25" borderId="46" xfId="0" applyNumberFormat="1" applyFont="1" applyFill="1" applyBorder="1" applyAlignment="1" applyProtection="1">
      <alignment horizontal="center" vertical="center"/>
    </xf>
    <xf numFmtId="169" fontId="48" fillId="26" borderId="47" xfId="0" applyNumberFormat="1" applyFont="1" applyFill="1" applyBorder="1" applyAlignment="1" applyProtection="1">
      <alignment horizontal="center" vertical="center" wrapText="1"/>
    </xf>
    <xf numFmtId="169" fontId="48" fillId="25" borderId="48" xfId="0" applyNumberFormat="1" applyFont="1" applyFill="1" applyBorder="1" applyAlignment="1" applyProtection="1">
      <alignment horizontal="center" vertical="center"/>
    </xf>
    <xf numFmtId="169" fontId="48" fillId="27" borderId="48" xfId="0" applyNumberFormat="1" applyFont="1" applyFill="1" applyBorder="1" applyAlignment="1" applyProtection="1">
      <alignment horizontal="center" vertical="center"/>
    </xf>
    <xf numFmtId="0" fontId="41" fillId="25" borderId="49" xfId="0" applyFont="1" applyFill="1" applyBorder="1" applyAlignment="1" applyProtection="1">
      <alignment horizontal="left" vertical="center" wrapText="1"/>
    </xf>
    <xf numFmtId="10" fontId="49" fillId="25" borderId="49" xfId="0" applyNumberFormat="1" applyFont="1" applyFill="1" applyBorder="1" applyAlignment="1" applyProtection="1">
      <alignment horizontal="center" vertical="center"/>
    </xf>
    <xf numFmtId="164" fontId="41" fillId="25" borderId="50" xfId="0" applyNumberFormat="1" applyFont="1" applyFill="1" applyBorder="1" applyAlignment="1" applyProtection="1">
      <alignment vertical="center"/>
    </xf>
    <xf numFmtId="169" fontId="48" fillId="0" borderId="47" xfId="0" applyNumberFormat="1" applyFont="1" applyFill="1" applyBorder="1" applyAlignment="1" applyProtection="1">
      <alignment horizontal="center" vertical="center" wrapText="1"/>
    </xf>
    <xf numFmtId="10" fontId="50" fillId="22" borderId="51" xfId="37" applyNumberFormat="1" applyFont="1" applyFill="1" applyBorder="1" applyAlignment="1" applyProtection="1">
      <alignment horizontal="center" vertical="center"/>
      <protection locked="0"/>
    </xf>
    <xf numFmtId="164" fontId="41" fillId="25" borderId="52" xfId="0" applyNumberFormat="1" applyFont="1" applyFill="1" applyBorder="1" applyAlignment="1" applyProtection="1">
      <alignment vertical="center"/>
    </xf>
    <xf numFmtId="164" fontId="41" fillId="26" borderId="52" xfId="0" applyNumberFormat="1" applyFont="1" applyFill="1" applyBorder="1" applyAlignment="1" applyProtection="1">
      <alignment horizontal="center" vertical="center"/>
    </xf>
    <xf numFmtId="10" fontId="0" fillId="0" borderId="0" xfId="0" applyNumberFormat="1" applyAlignment="1" applyProtection="1">
      <alignment vertical="center"/>
    </xf>
    <xf numFmtId="164" fontId="41" fillId="25" borderId="49" xfId="0" applyNumberFormat="1" applyFont="1" applyFill="1" applyBorder="1" applyAlignment="1" applyProtection="1">
      <alignment vertical="center"/>
    </xf>
    <xf numFmtId="10" fontId="49" fillId="25" borderId="45" xfId="0" applyNumberFormat="1" applyFont="1" applyFill="1" applyBorder="1" applyAlignment="1" applyProtection="1">
      <alignment horizontal="center" vertical="center"/>
    </xf>
    <xf numFmtId="169" fontId="48" fillId="25" borderId="53" xfId="0" applyNumberFormat="1" applyFont="1" applyFill="1" applyBorder="1" applyAlignment="1" applyProtection="1">
      <alignment horizontal="center" vertical="center"/>
    </xf>
    <xf numFmtId="171" fontId="49" fillId="25" borderId="52" xfId="0" applyNumberFormat="1" applyFont="1" applyFill="1" applyBorder="1" applyAlignment="1" applyProtection="1">
      <alignment horizontal="center" vertical="center"/>
    </xf>
    <xf numFmtId="0" fontId="41" fillId="28" borderId="54" xfId="0" applyFont="1" applyFill="1" applyBorder="1" applyAlignment="1" applyProtection="1">
      <alignment vertical="center"/>
    </xf>
    <xf numFmtId="172" fontId="49" fillId="25" borderId="52" xfId="0" applyNumberFormat="1" applyFont="1" applyFill="1" applyBorder="1" applyAlignment="1" applyProtection="1">
      <alignment horizontal="center" vertical="center"/>
    </xf>
    <xf numFmtId="10" fontId="49" fillId="25" borderId="52" xfId="0" applyNumberFormat="1" applyFont="1" applyFill="1" applyBorder="1" applyAlignment="1" applyProtection="1">
      <alignment horizontal="center" vertical="center"/>
    </xf>
    <xf numFmtId="169" fontId="48" fillId="25" borderId="55" xfId="0" applyNumberFormat="1" applyFont="1" applyFill="1" applyBorder="1" applyAlignment="1" applyProtection="1">
      <alignment horizontal="center" vertical="center"/>
    </xf>
    <xf numFmtId="10" fontId="50" fillId="0" borderId="51" xfId="37" applyNumberFormat="1" applyFont="1" applyFill="1" applyBorder="1" applyAlignment="1" applyProtection="1">
      <alignment horizontal="center" vertical="center"/>
      <protection locked="0"/>
    </xf>
    <xf numFmtId="169" fontId="48" fillId="25" borderId="56" xfId="0" applyNumberFormat="1" applyFont="1" applyFill="1" applyBorder="1" applyAlignment="1" applyProtection="1">
      <alignment horizontal="center" vertical="center"/>
    </xf>
    <xf numFmtId="0" fontId="41" fillId="25" borderId="0" xfId="0" applyFont="1" applyFill="1" applyBorder="1" applyAlignment="1" applyProtection="1">
      <alignment vertical="center"/>
    </xf>
    <xf numFmtId="10" fontId="49" fillId="25" borderId="0" xfId="0" applyNumberFormat="1" applyFont="1" applyFill="1" applyBorder="1" applyAlignment="1" applyProtection="1">
      <alignment horizontal="center" vertical="center"/>
    </xf>
    <xf numFmtId="164" fontId="48" fillId="25" borderId="57" xfId="0" applyNumberFormat="1" applyFont="1" applyFill="1" applyBorder="1" applyAlignment="1" applyProtection="1">
      <alignment vertical="center"/>
    </xf>
    <xf numFmtId="0" fontId="41" fillId="25" borderId="58" xfId="0" applyFont="1" applyFill="1" applyBorder="1" applyAlignment="1" applyProtection="1">
      <alignment vertical="center"/>
    </xf>
    <xf numFmtId="0" fontId="41" fillId="25" borderId="49" xfId="0" applyFont="1" applyFill="1" applyBorder="1" applyAlignment="1" applyProtection="1">
      <alignment vertical="center"/>
    </xf>
    <xf numFmtId="0" fontId="35" fillId="0" borderId="49" xfId="0" applyFont="1" applyFill="1" applyBorder="1" applyAlignment="1" applyProtection="1">
      <alignment horizontal="center"/>
    </xf>
    <xf numFmtId="164" fontId="50" fillId="22" borderId="51" xfId="32" applyFont="1" applyFill="1" applyBorder="1" applyAlignment="1" applyProtection="1">
      <alignment horizontal="center" vertical="center"/>
      <protection locked="0"/>
    </xf>
    <xf numFmtId="0" fontId="41" fillId="25" borderId="59" xfId="0" applyFont="1" applyFill="1" applyBorder="1" applyAlignment="1" applyProtection="1">
      <alignment vertical="center"/>
    </xf>
    <xf numFmtId="164" fontId="41" fillId="25" borderId="49" xfId="0" applyNumberFormat="1" applyFont="1" applyFill="1" applyBorder="1" applyAlignment="1" applyProtection="1">
      <alignment horizontal="center" vertical="center"/>
    </xf>
    <xf numFmtId="164" fontId="41" fillId="25" borderId="52" xfId="32" applyFont="1" applyFill="1" applyBorder="1" applyAlignment="1" applyProtection="1">
      <alignment vertical="center"/>
    </xf>
    <xf numFmtId="164" fontId="50" fillId="22" borderId="51" xfId="32" applyFont="1" applyFill="1" applyBorder="1" applyAlignment="1" applyProtection="1">
      <alignment horizontal="justify" vertical="center"/>
      <protection locked="0"/>
    </xf>
    <xf numFmtId="0" fontId="41" fillId="25" borderId="60" xfId="0" applyFont="1" applyFill="1" applyBorder="1" applyAlignment="1" applyProtection="1">
      <alignment vertical="center"/>
    </xf>
    <xf numFmtId="0" fontId="41" fillId="25" borderId="61" xfId="0" applyNumberFormat="1" applyFont="1" applyFill="1" applyBorder="1" applyAlignment="1" applyProtection="1">
      <alignment horizontal="left" vertical="center"/>
    </xf>
    <xf numFmtId="164" fontId="41" fillId="25" borderId="62" xfId="32" applyFont="1" applyFill="1" applyBorder="1" applyAlignment="1" applyProtection="1">
      <alignment vertical="center"/>
    </xf>
    <xf numFmtId="169" fontId="48" fillId="25" borderId="63" xfId="0" applyNumberFormat="1" applyFont="1" applyFill="1" applyBorder="1" applyAlignment="1" applyProtection="1">
      <alignment horizontal="center" vertical="center"/>
    </xf>
    <xf numFmtId="0" fontId="41" fillId="25" borderId="64" xfId="0" applyFont="1" applyFill="1" applyBorder="1" applyAlignment="1" applyProtection="1">
      <alignment vertical="center"/>
    </xf>
    <xf numFmtId="164" fontId="41" fillId="25" borderId="65" xfId="0" applyNumberFormat="1" applyFont="1" applyFill="1" applyBorder="1" applyAlignment="1" applyProtection="1">
      <alignment vertical="center"/>
    </xf>
    <xf numFmtId="0" fontId="41" fillId="25" borderId="66" xfId="0" applyNumberFormat="1" applyFont="1" applyFill="1" applyBorder="1" applyAlignment="1" applyProtection="1">
      <alignment horizontal="left" vertical="center"/>
    </xf>
    <xf numFmtId="0" fontId="41" fillId="25" borderId="67" xfId="0" applyFont="1" applyFill="1" applyBorder="1" applyAlignment="1" applyProtection="1">
      <alignment vertical="center"/>
    </xf>
    <xf numFmtId="1" fontId="50" fillId="22" borderId="68" xfId="37" applyNumberFormat="1" applyFont="1" applyFill="1" applyBorder="1" applyAlignment="1" applyProtection="1">
      <alignment horizontal="center" vertical="center"/>
      <protection locked="0"/>
    </xf>
    <xf numFmtId="0" fontId="41" fillId="25" borderId="52" xfId="0" applyFont="1" applyFill="1" applyBorder="1" applyAlignment="1" applyProtection="1">
      <alignment horizontal="center" vertical="center"/>
    </xf>
    <xf numFmtId="0" fontId="41" fillId="25" borderId="69" xfId="0" applyNumberFormat="1" applyFont="1" applyFill="1" applyBorder="1" applyAlignment="1" applyProtection="1">
      <alignment horizontal="left" vertical="center"/>
    </xf>
    <xf numFmtId="0" fontId="41" fillId="25" borderId="70" xfId="0" applyFont="1" applyFill="1" applyBorder="1" applyAlignment="1" applyProtection="1">
      <alignment vertical="center"/>
    </xf>
    <xf numFmtId="164" fontId="50" fillId="22" borderId="71" xfId="32" applyFont="1" applyFill="1" applyBorder="1" applyAlignment="1" applyProtection="1">
      <alignment horizontal="justify" vertical="center"/>
      <protection locked="0"/>
    </xf>
    <xf numFmtId="164" fontId="41" fillId="25" borderId="45" xfId="0" applyNumberFormat="1" applyFont="1" applyFill="1" applyBorder="1" applyAlignment="1" applyProtection="1">
      <alignment horizontal="center" vertical="center"/>
    </xf>
    <xf numFmtId="169" fontId="48" fillId="25" borderId="49" xfId="0" applyNumberFormat="1" applyFont="1" applyFill="1" applyBorder="1" applyAlignment="1" applyProtection="1">
      <alignment horizontal="center" vertical="center"/>
    </xf>
    <xf numFmtId="169" fontId="41" fillId="25" borderId="72" xfId="0" applyNumberFormat="1" applyFont="1" applyFill="1" applyBorder="1" applyAlignment="1" applyProtection="1">
      <alignment horizontal="left" vertical="center"/>
    </xf>
    <xf numFmtId="169" fontId="48" fillId="25" borderId="64" xfId="0" applyNumberFormat="1" applyFont="1" applyFill="1" applyBorder="1" applyAlignment="1" applyProtection="1">
      <alignment horizontal="center" vertical="center"/>
    </xf>
    <xf numFmtId="169" fontId="41" fillId="25" borderId="73" xfId="0" applyNumberFormat="1" applyFont="1" applyFill="1" applyBorder="1" applyAlignment="1" applyProtection="1">
      <alignment horizontal="left" vertical="center"/>
    </xf>
    <xf numFmtId="1" fontId="49" fillId="25" borderId="52" xfId="0" applyNumberFormat="1" applyFont="1" applyFill="1" applyBorder="1" applyAlignment="1" applyProtection="1">
      <alignment horizontal="center" vertical="center"/>
    </xf>
    <xf numFmtId="169" fontId="48" fillId="25" borderId="0" xfId="0" applyNumberFormat="1" applyFont="1" applyFill="1" applyBorder="1" applyAlignment="1" applyProtection="1">
      <alignment horizontal="center" vertical="center"/>
    </xf>
    <xf numFmtId="169" fontId="48" fillId="25" borderId="74" xfId="0" applyNumberFormat="1" applyFont="1" applyFill="1" applyBorder="1" applyAlignment="1" applyProtection="1">
      <alignment horizontal="center" vertical="center"/>
    </xf>
    <xf numFmtId="0" fontId="41" fillId="25" borderId="50" xfId="0" applyNumberFormat="1" applyFont="1" applyFill="1" applyBorder="1" applyAlignment="1" applyProtection="1">
      <alignment horizontal="left" vertical="center"/>
    </xf>
    <xf numFmtId="0" fontId="50" fillId="25" borderId="61" xfId="0" applyNumberFormat="1" applyFont="1" applyFill="1" applyBorder="1" applyAlignment="1" applyProtection="1">
      <alignment horizontal="left" vertical="center"/>
    </xf>
    <xf numFmtId="173" fontId="50" fillId="22" borderId="51" xfId="32" applyNumberFormat="1" applyFont="1" applyFill="1" applyBorder="1" applyAlignment="1" applyProtection="1">
      <alignment horizontal="justify" vertical="center"/>
      <protection locked="0"/>
    </xf>
    <xf numFmtId="169" fontId="48" fillId="25" borderId="45" xfId="0" applyNumberFormat="1" applyFont="1" applyFill="1" applyBorder="1" applyAlignment="1" applyProtection="1">
      <alignment horizontal="center" vertical="center"/>
    </xf>
    <xf numFmtId="169" fontId="48" fillId="25" borderId="75" xfId="0" applyNumberFormat="1" applyFont="1" applyFill="1" applyBorder="1" applyAlignment="1" applyProtection="1">
      <alignment horizontal="center" vertical="center"/>
    </xf>
    <xf numFmtId="169" fontId="41" fillId="25" borderId="45" xfId="0" applyNumberFormat="1" applyFont="1" applyFill="1" applyBorder="1" applyAlignment="1" applyProtection="1">
      <alignment horizontal="left" vertical="center"/>
    </xf>
    <xf numFmtId="169" fontId="48" fillId="25" borderId="76" xfId="0" applyNumberFormat="1" applyFont="1" applyFill="1" applyBorder="1" applyAlignment="1" applyProtection="1">
      <alignment horizontal="center" vertical="center"/>
    </xf>
    <xf numFmtId="169" fontId="48" fillId="25" borderId="77" xfId="0" applyNumberFormat="1" applyFont="1" applyFill="1" applyBorder="1" applyAlignment="1" applyProtection="1">
      <alignment horizontal="center" vertical="center"/>
    </xf>
    <xf numFmtId="1" fontId="50" fillId="22" borderId="51" xfId="37" applyNumberFormat="1" applyFont="1" applyFill="1" applyBorder="1" applyAlignment="1" applyProtection="1">
      <alignment horizontal="center" vertical="center"/>
      <protection locked="0"/>
    </xf>
    <xf numFmtId="169" fontId="48" fillId="25" borderId="78" xfId="0" applyNumberFormat="1" applyFont="1" applyFill="1" applyBorder="1" applyAlignment="1" applyProtection="1">
      <alignment horizontal="center" vertical="center"/>
    </xf>
    <xf numFmtId="0" fontId="46" fillId="25" borderId="0" xfId="0" applyFont="1" applyFill="1" applyBorder="1" applyAlignment="1" applyProtection="1">
      <alignment horizontal="left" vertical="center"/>
    </xf>
    <xf numFmtId="169" fontId="48" fillId="25" borderId="79" xfId="0" applyNumberFormat="1" applyFont="1" applyFill="1" applyBorder="1" applyAlignment="1" applyProtection="1">
      <alignment horizontal="center" vertical="center"/>
    </xf>
    <xf numFmtId="169" fontId="41" fillId="25" borderId="44" xfId="0" applyNumberFormat="1" applyFont="1" applyFill="1" applyBorder="1" applyAlignment="1" applyProtection="1">
      <alignment horizontal="left" vertical="center"/>
    </xf>
    <xf numFmtId="169" fontId="48" fillId="25" borderId="80" xfId="0" applyNumberFormat="1" applyFont="1" applyFill="1" applyBorder="1" applyAlignment="1" applyProtection="1">
      <alignment horizontal="center" vertical="center"/>
    </xf>
    <xf numFmtId="169" fontId="41" fillId="25" borderId="63" xfId="0" applyNumberFormat="1" applyFont="1" applyFill="1" applyBorder="1" applyAlignment="1" applyProtection="1">
      <alignment horizontal="left" vertical="center"/>
    </xf>
    <xf numFmtId="169" fontId="48" fillId="25" borderId="81" xfId="0" applyNumberFormat="1" applyFont="1" applyFill="1" applyBorder="1" applyAlignment="1" applyProtection="1">
      <alignment horizontal="center" vertical="center"/>
    </xf>
    <xf numFmtId="169" fontId="48" fillId="25" borderId="45" xfId="0" applyNumberFormat="1" applyFont="1" applyFill="1" applyBorder="1" applyAlignment="1" applyProtection="1">
      <alignment horizontal="left" vertical="center"/>
    </xf>
    <xf numFmtId="169" fontId="48" fillId="8" borderId="48" xfId="0" applyNumberFormat="1" applyFont="1" applyFill="1" applyBorder="1" applyAlignment="1" applyProtection="1">
      <alignment horizontal="center" vertical="center"/>
    </xf>
    <xf numFmtId="169" fontId="48" fillId="8" borderId="48" xfId="0" applyNumberFormat="1" applyFont="1" applyFill="1" applyBorder="1" applyAlignment="1" applyProtection="1">
      <alignment horizontal="left" vertical="center"/>
    </xf>
    <xf numFmtId="0" fontId="41" fillId="8" borderId="60" xfId="0" applyFont="1" applyFill="1" applyBorder="1" applyAlignment="1" applyProtection="1">
      <alignment vertical="center"/>
    </xf>
    <xf numFmtId="10" fontId="51" fillId="8" borderId="60" xfId="0" applyNumberFormat="1" applyFont="1" applyFill="1" applyBorder="1" applyAlignment="1" applyProtection="1">
      <alignment horizontal="center" vertical="center"/>
    </xf>
    <xf numFmtId="164" fontId="48" fillId="8" borderId="60" xfId="0" applyNumberFormat="1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horizontal="center" vertical="center"/>
    </xf>
    <xf numFmtId="0" fontId="41" fillId="25" borderId="0" xfId="0" applyFont="1" applyFill="1" applyBorder="1" applyAlignment="1" applyProtection="1">
      <alignment vertical="top"/>
    </xf>
    <xf numFmtId="0" fontId="41" fillId="0" borderId="0" xfId="0" applyFont="1" applyFill="1" applyBorder="1" applyAlignment="1" applyProtection="1">
      <alignment vertical="top"/>
    </xf>
    <xf numFmtId="0" fontId="53" fillId="25" borderId="0" xfId="0" applyFont="1" applyFill="1" applyBorder="1" applyAlignment="1" applyProtection="1">
      <alignment vertical="top" wrapText="1"/>
    </xf>
    <xf numFmtId="0" fontId="54" fillId="25" borderId="0" xfId="0" applyFont="1" applyFill="1" applyBorder="1" applyAlignment="1" applyProtection="1">
      <alignment horizontal="center" vertical="center"/>
    </xf>
    <xf numFmtId="0" fontId="41" fillId="25" borderId="49" xfId="0" applyFont="1" applyFill="1" applyBorder="1" applyAlignment="1" applyProtection="1">
      <alignment horizontal="left" vertical="center"/>
    </xf>
    <xf numFmtId="169" fontId="55" fillId="25" borderId="44" xfId="0" applyNumberFormat="1" applyFont="1" applyFill="1" applyBorder="1" applyAlignment="1" applyProtection="1">
      <alignment horizontal="center" vertical="center"/>
    </xf>
    <xf numFmtId="0" fontId="48" fillId="25" borderId="47" xfId="0" applyFont="1" applyFill="1" applyBorder="1" applyAlignment="1" applyProtection="1">
      <alignment horizontal="center" vertical="center" wrapText="1"/>
    </xf>
    <xf numFmtId="169" fontId="47" fillId="25" borderId="0" xfId="0" applyNumberFormat="1" applyFont="1" applyFill="1" applyBorder="1" applyAlignment="1" applyProtection="1">
      <alignment horizontal="left" vertical="center"/>
    </xf>
    <xf numFmtId="0" fontId="41" fillId="8" borderId="82" xfId="0" applyFont="1" applyFill="1" applyBorder="1" applyAlignment="1" applyProtection="1">
      <alignment vertical="center"/>
    </xf>
    <xf numFmtId="0" fontId="48" fillId="25" borderId="83" xfId="0" applyFont="1" applyFill="1" applyBorder="1" applyAlignment="1" applyProtection="1">
      <alignment vertical="center"/>
    </xf>
    <xf numFmtId="0" fontId="41" fillId="25" borderId="83" xfId="0" applyFont="1" applyFill="1" applyBorder="1" applyAlignment="1" applyProtection="1">
      <alignment vertical="center"/>
    </xf>
    <xf numFmtId="0" fontId="41" fillId="25" borderId="64" xfId="0" applyFont="1" applyFill="1" applyBorder="1" applyAlignment="1" applyProtection="1">
      <alignment vertical="top"/>
    </xf>
    <xf numFmtId="164" fontId="50" fillId="22" borderId="52" xfId="0" applyNumberFormat="1" applyFont="1" applyFill="1" applyBorder="1" applyAlignment="1" applyProtection="1">
      <alignment vertical="center"/>
      <protection locked="0"/>
    </xf>
    <xf numFmtId="0" fontId="48" fillId="8" borderId="84" xfId="0" applyFont="1" applyFill="1" applyBorder="1" applyAlignment="1" applyProtection="1">
      <alignment vertical="center"/>
    </xf>
    <xf numFmtId="0" fontId="41" fillId="8" borderId="84" xfId="0" applyFont="1" applyFill="1" applyBorder="1" applyAlignment="1" applyProtection="1">
      <alignment vertical="center"/>
    </xf>
    <xf numFmtId="0" fontId="56" fillId="25" borderId="45" xfId="0" applyFont="1" applyFill="1" applyBorder="1" applyAlignment="1" applyProtection="1">
      <alignment horizontal="right" vertical="center"/>
    </xf>
    <xf numFmtId="169" fontId="48" fillId="0" borderId="85" xfId="0" applyNumberFormat="1" applyFont="1" applyFill="1" applyBorder="1" applyAlignment="1" applyProtection="1">
      <alignment horizontal="center" vertical="center"/>
    </xf>
    <xf numFmtId="0" fontId="47" fillId="25" borderId="0" xfId="0" applyFont="1" applyFill="1" applyBorder="1" applyAlignment="1" applyProtection="1">
      <alignment horizontal="center" vertical="center"/>
    </xf>
    <xf numFmtId="0" fontId="58" fillId="25" borderId="0" xfId="0" applyFont="1" applyFill="1" applyBorder="1" applyAlignment="1" applyProtection="1">
      <alignment vertical="center"/>
    </xf>
    <xf numFmtId="0" fontId="47" fillId="25" borderId="0" xfId="0" applyFont="1" applyFill="1" applyBorder="1" applyAlignment="1" applyProtection="1">
      <alignment horizontal="right" vertical="center"/>
    </xf>
    <xf numFmtId="0" fontId="51" fillId="25" borderId="0" xfId="0" applyFont="1" applyFill="1" applyBorder="1" applyAlignment="1" applyProtection="1">
      <alignment horizontal="left" vertical="center"/>
    </xf>
    <xf numFmtId="0" fontId="41" fillId="25" borderId="0" xfId="0" applyFont="1" applyFill="1" applyBorder="1" applyAlignment="1" applyProtection="1">
      <alignment horizontal="left" vertical="center"/>
    </xf>
    <xf numFmtId="0" fontId="47" fillId="25" borderId="86" xfId="0" applyFont="1" applyFill="1" applyBorder="1" applyAlignment="1" applyProtection="1">
      <alignment horizontal="left" vertical="center"/>
    </xf>
    <xf numFmtId="0" fontId="47" fillId="25" borderId="87" xfId="0" applyFont="1" applyFill="1" applyBorder="1" applyAlignment="1" applyProtection="1">
      <alignment horizontal="left" vertical="center"/>
    </xf>
    <xf numFmtId="0" fontId="47" fillId="25" borderId="86" xfId="0" applyFont="1" applyFill="1" applyBorder="1" applyAlignment="1" applyProtection="1">
      <alignment horizontal="center" vertical="center"/>
    </xf>
    <xf numFmtId="0" fontId="47" fillId="25" borderId="87" xfId="0" applyFont="1" applyFill="1" applyBorder="1" applyAlignment="1" applyProtection="1">
      <alignment horizontal="center" vertical="center"/>
    </xf>
    <xf numFmtId="0" fontId="59" fillId="25" borderId="88" xfId="0" applyFont="1" applyFill="1" applyBorder="1" applyAlignment="1" applyProtection="1">
      <alignment vertical="center"/>
    </xf>
    <xf numFmtId="0" fontId="60" fillId="25" borderId="89" xfId="0" applyFont="1" applyFill="1" applyBorder="1" applyAlignment="1" applyProtection="1">
      <alignment vertical="center"/>
    </xf>
    <xf numFmtId="164" fontId="62" fillId="25" borderId="90" xfId="0" applyNumberFormat="1" applyFont="1" applyFill="1" applyBorder="1" applyAlignment="1" applyProtection="1">
      <alignment vertical="center"/>
    </xf>
    <xf numFmtId="0" fontId="41" fillId="8" borderId="91" xfId="0" applyFont="1" applyFill="1" applyBorder="1" applyAlignment="1" applyProtection="1">
      <alignment vertical="center"/>
    </xf>
    <xf numFmtId="0" fontId="46" fillId="25" borderId="43" xfId="0" applyFont="1" applyFill="1" applyBorder="1" applyAlignment="1" applyProtection="1">
      <alignment horizontal="left" vertical="center"/>
    </xf>
    <xf numFmtId="0" fontId="37" fillId="25" borderId="43" xfId="0" applyFont="1" applyFill="1" applyBorder="1" applyAlignment="1" applyProtection="1">
      <alignment horizontal="left" vertical="center"/>
    </xf>
    <xf numFmtId="0" fontId="48" fillId="25" borderId="92" xfId="0" applyNumberFormat="1" applyFont="1" applyFill="1" applyBorder="1" applyAlignment="1" applyProtection="1">
      <alignment horizontal="center" vertical="center" wrapText="1"/>
    </xf>
    <xf numFmtId="0" fontId="48" fillId="25" borderId="93" xfId="0" applyNumberFormat="1" applyFont="1" applyFill="1" applyBorder="1" applyAlignment="1" applyProtection="1">
      <alignment horizontal="center" vertical="center" wrapText="1"/>
    </xf>
    <xf numFmtId="0" fontId="41" fillId="15" borderId="0" xfId="0" applyFont="1" applyFill="1" applyBorder="1" applyAlignment="1" applyProtection="1">
      <alignment vertical="center"/>
    </xf>
    <xf numFmtId="169" fontId="48" fillId="25" borderId="94" xfId="0" applyNumberFormat="1" applyFont="1" applyFill="1" applyBorder="1" applyAlignment="1" applyProtection="1">
      <alignment horizontal="right" vertical="center"/>
    </xf>
    <xf numFmtId="164" fontId="41" fillId="25" borderId="95" xfId="0" applyNumberFormat="1" applyFont="1" applyFill="1" applyBorder="1" applyAlignment="1" applyProtection="1">
      <alignment vertical="center"/>
    </xf>
    <xf numFmtId="10" fontId="49" fillId="25" borderId="96" xfId="0" applyNumberFormat="1" applyFont="1" applyFill="1" applyBorder="1" applyAlignment="1" applyProtection="1">
      <alignment horizontal="center" vertical="center"/>
    </xf>
    <xf numFmtId="169" fontId="48" fillId="25" borderId="49" xfId="0" applyNumberFormat="1" applyFont="1" applyFill="1" applyBorder="1" applyAlignment="1" applyProtection="1">
      <alignment horizontal="right" vertical="center"/>
    </xf>
    <xf numFmtId="10" fontId="40" fillId="22" borderId="49" xfId="0" applyNumberFormat="1" applyFont="1" applyFill="1" applyBorder="1" applyAlignment="1" applyProtection="1">
      <alignment horizontal="center" vertical="center"/>
      <protection locked="0"/>
    </xf>
    <xf numFmtId="164" fontId="41" fillId="25" borderId="54" xfId="0" applyNumberFormat="1" applyFont="1" applyFill="1" applyBorder="1" applyAlignment="1" applyProtection="1">
      <alignment vertical="center"/>
    </xf>
    <xf numFmtId="10" fontId="40" fillId="22" borderId="64" xfId="0" applyNumberFormat="1" applyFont="1" applyFill="1" applyBorder="1" applyAlignment="1" applyProtection="1">
      <alignment horizontal="center" vertical="center"/>
      <protection locked="0"/>
    </xf>
    <xf numFmtId="164" fontId="41" fillId="22" borderId="54" xfId="0" applyNumberFormat="1" applyFont="1" applyFill="1" applyBorder="1" applyAlignment="1" applyProtection="1">
      <alignment vertical="center"/>
      <protection locked="0"/>
    </xf>
    <xf numFmtId="0" fontId="41" fillId="25" borderId="74" xfId="0" applyFont="1" applyFill="1" applyBorder="1" applyAlignment="1" applyProtection="1">
      <alignment vertical="center"/>
    </xf>
    <xf numFmtId="169" fontId="48" fillId="25" borderId="97" xfId="0" applyNumberFormat="1" applyFont="1" applyFill="1" applyBorder="1" applyAlignment="1" applyProtection="1">
      <alignment horizontal="center" vertical="center"/>
    </xf>
    <xf numFmtId="0" fontId="48" fillId="8" borderId="98" xfId="0" applyNumberFormat="1" applyFont="1" applyFill="1" applyBorder="1" applyAlignment="1" applyProtection="1">
      <alignment vertical="center"/>
    </xf>
    <xf numFmtId="164" fontId="48" fillId="8" borderId="99" xfId="0" applyNumberFormat="1" applyFont="1" applyFill="1" applyBorder="1" applyAlignment="1" applyProtection="1">
      <alignment vertical="center"/>
    </xf>
    <xf numFmtId="10" fontId="51" fillId="8" borderId="99" xfId="0" applyNumberFormat="1" applyFont="1" applyFill="1" applyBorder="1" applyAlignment="1" applyProtection="1">
      <alignment horizontal="center" vertical="center"/>
    </xf>
    <xf numFmtId="0" fontId="41" fillId="25" borderId="100" xfId="0" applyFont="1" applyFill="1" applyBorder="1" applyAlignment="1" applyProtection="1">
      <alignment vertical="center"/>
    </xf>
    <xf numFmtId="0" fontId="47" fillId="25" borderId="56" xfId="0" applyFont="1" applyFill="1" applyBorder="1" applyAlignment="1" applyProtection="1">
      <alignment horizontal="left" vertical="center"/>
    </xf>
    <xf numFmtId="0" fontId="41" fillId="25" borderId="101" xfId="0" applyFont="1" applyFill="1" applyBorder="1" applyAlignment="1" applyProtection="1">
      <alignment vertical="center"/>
    </xf>
    <xf numFmtId="0" fontId="41" fillId="11" borderId="0" xfId="0" applyFont="1" applyFill="1" applyBorder="1" applyAlignment="1" applyProtection="1">
      <alignment vertical="center"/>
    </xf>
    <xf numFmtId="0" fontId="47" fillId="25" borderId="102" xfId="0" applyFont="1" applyFill="1" applyBorder="1" applyAlignment="1" applyProtection="1">
      <alignment horizontal="left" vertical="center"/>
    </xf>
    <xf numFmtId="0" fontId="47" fillId="25" borderId="70" xfId="0" applyFont="1" applyFill="1" applyBorder="1" applyAlignment="1" applyProtection="1">
      <alignment horizontal="left" vertical="center"/>
    </xf>
    <xf numFmtId="169" fontId="48" fillId="25" borderId="103" xfId="0" applyNumberFormat="1" applyFont="1" applyFill="1" applyBorder="1" applyAlignment="1" applyProtection="1">
      <alignment horizontal="center" vertical="center"/>
    </xf>
    <xf numFmtId="0" fontId="41" fillId="25" borderId="76" xfId="0" applyFont="1" applyFill="1" applyBorder="1" applyAlignment="1" applyProtection="1">
      <alignment vertical="center"/>
    </xf>
    <xf numFmtId="10" fontId="49" fillId="25" borderId="76" xfId="0" applyNumberFormat="1" applyFont="1" applyFill="1" applyBorder="1" applyAlignment="1" applyProtection="1">
      <alignment horizontal="center" vertical="center"/>
    </xf>
    <xf numFmtId="164" fontId="41" fillId="25" borderId="76" xfId="0" applyNumberFormat="1" applyFont="1" applyFill="1" applyBorder="1" applyAlignment="1" applyProtection="1">
      <alignment vertical="center"/>
    </xf>
    <xf numFmtId="0" fontId="41" fillId="27" borderId="91" xfId="0" applyFont="1" applyFill="1" applyBorder="1" applyAlignment="1" applyProtection="1">
      <alignment vertical="center"/>
    </xf>
    <xf numFmtId="0" fontId="47" fillId="25" borderId="104" xfId="0" applyFont="1" applyFill="1" applyBorder="1" applyAlignment="1" applyProtection="1">
      <alignment vertical="center"/>
    </xf>
    <xf numFmtId="0" fontId="41" fillId="25" borderId="104" xfId="0" applyFont="1" applyFill="1" applyBorder="1" applyAlignment="1" applyProtection="1">
      <alignment vertical="center"/>
    </xf>
    <xf numFmtId="0" fontId="48" fillId="27" borderId="98" xfId="0" applyNumberFormat="1" applyFont="1" applyFill="1" applyBorder="1" applyAlignment="1" applyProtection="1">
      <alignment vertical="center"/>
    </xf>
    <xf numFmtId="0" fontId="41" fillId="27" borderId="84" xfId="0" applyFont="1" applyFill="1" applyBorder="1" applyAlignment="1" applyProtection="1">
      <alignment vertical="center"/>
    </xf>
    <xf numFmtId="164" fontId="48" fillId="27" borderId="99" xfId="0" applyNumberFormat="1" applyFont="1" applyFill="1" applyBorder="1" applyAlignment="1" applyProtection="1">
      <alignment vertical="center"/>
    </xf>
    <xf numFmtId="10" fontId="51" fillId="27" borderId="99" xfId="0" applyNumberFormat="1" applyFont="1" applyFill="1" applyBorder="1" applyAlignment="1" applyProtection="1">
      <alignment horizontal="center" vertical="center"/>
    </xf>
    <xf numFmtId="0" fontId="41" fillId="25" borderId="105" xfId="0" applyFont="1" applyFill="1" applyBorder="1" applyAlignment="1" applyProtection="1">
      <alignment vertical="center"/>
    </xf>
    <xf numFmtId="164" fontId="41" fillId="25" borderId="106" xfId="0" applyNumberFormat="1" applyFont="1" applyFill="1" applyBorder="1" applyAlignment="1" applyProtection="1">
      <alignment vertical="center"/>
    </xf>
    <xf numFmtId="0" fontId="47" fillId="25" borderId="107" xfId="0" applyFont="1" applyFill="1" applyBorder="1" applyAlignment="1" applyProtection="1">
      <alignment horizontal="left" vertical="center"/>
    </xf>
    <xf numFmtId="0" fontId="41" fillId="27" borderId="49" xfId="0" applyFont="1" applyFill="1" applyBorder="1" applyAlignment="1" applyProtection="1">
      <alignment vertical="center"/>
    </xf>
    <xf numFmtId="10" fontId="49" fillId="27" borderId="49" xfId="0" applyNumberFormat="1" applyFont="1" applyFill="1" applyBorder="1" applyAlignment="1" applyProtection="1">
      <alignment horizontal="center" vertical="center"/>
    </xf>
    <xf numFmtId="164" fontId="41" fillId="27" borderId="95" xfId="0" applyNumberFormat="1" applyFont="1" applyFill="1" applyBorder="1" applyAlignment="1" applyProtection="1">
      <alignment vertical="center"/>
    </xf>
    <xf numFmtId="10" fontId="49" fillId="27" borderId="108" xfId="0" applyNumberFormat="1" applyFont="1" applyFill="1" applyBorder="1" applyAlignment="1" applyProtection="1">
      <alignment horizontal="center" vertical="center"/>
    </xf>
    <xf numFmtId="10" fontId="39" fillId="22" borderId="49" xfId="36" applyNumberFormat="1" applyFont="1" applyFill="1" applyBorder="1" applyAlignment="1" applyProtection="1">
      <alignment horizontal="center" vertical="center"/>
      <protection locked="0"/>
    </xf>
    <xf numFmtId="10" fontId="49" fillId="25" borderId="108" xfId="0" applyNumberFormat="1" applyFont="1" applyFill="1" applyBorder="1" applyAlignment="1" applyProtection="1">
      <alignment horizontal="center" vertical="center"/>
    </xf>
    <xf numFmtId="164" fontId="41" fillId="28" borderId="109" xfId="0" applyNumberFormat="1" applyFont="1" applyFill="1" applyBorder="1" applyAlignment="1" applyProtection="1">
      <alignment vertical="center"/>
    </xf>
    <xf numFmtId="10" fontId="47" fillId="8" borderId="49" xfId="0" applyNumberFormat="1" applyFont="1" applyFill="1" applyBorder="1" applyAlignment="1" applyProtection="1">
      <alignment horizontal="center" vertical="center"/>
    </xf>
    <xf numFmtId="164" fontId="48" fillId="25" borderId="54" xfId="0" applyNumberFormat="1" applyFont="1" applyFill="1" applyBorder="1" applyAlignment="1" applyProtection="1">
      <alignment vertical="center"/>
    </xf>
    <xf numFmtId="169" fontId="57" fillId="25" borderId="0" xfId="0" applyNumberFormat="1" applyFont="1" applyFill="1" applyBorder="1" applyAlignment="1" applyProtection="1">
      <alignment horizontal="left" vertical="center"/>
    </xf>
    <xf numFmtId="0" fontId="48" fillId="25" borderId="64" xfId="0" applyFont="1" applyFill="1" applyBorder="1" applyAlignment="1" applyProtection="1">
      <alignment vertical="center"/>
    </xf>
    <xf numFmtId="0" fontId="48" fillId="25" borderId="49" xfId="0" applyFont="1" applyFill="1" applyBorder="1" applyAlignment="1" applyProtection="1">
      <alignment vertical="center"/>
    </xf>
    <xf numFmtId="169" fontId="39" fillId="25" borderId="0" xfId="0" applyNumberFormat="1" applyFont="1" applyFill="1" applyBorder="1" applyAlignment="1" applyProtection="1">
      <alignment horizontal="left" vertical="center"/>
    </xf>
    <xf numFmtId="0" fontId="48" fillId="25" borderId="0" xfId="0" applyFont="1" applyFill="1" applyBorder="1" applyAlignment="1" applyProtection="1">
      <alignment vertical="center"/>
    </xf>
    <xf numFmtId="0" fontId="48" fillId="25" borderId="45" xfId="0" applyFont="1" applyFill="1" applyBorder="1" applyAlignment="1" applyProtection="1">
      <alignment vertical="center"/>
    </xf>
    <xf numFmtId="169" fontId="57" fillId="25" borderId="0" xfId="0" applyNumberFormat="1" applyFont="1" applyFill="1" applyBorder="1" applyAlignment="1" applyProtection="1">
      <alignment horizontal="right" vertical="center"/>
    </xf>
    <xf numFmtId="169" fontId="58" fillId="25" borderId="0" xfId="0" applyNumberFormat="1" applyFont="1" applyFill="1" applyBorder="1" applyAlignment="1" applyProtection="1">
      <alignment horizontal="left" vertical="center"/>
    </xf>
    <xf numFmtId="10" fontId="64" fillId="25" borderId="49" xfId="0" applyNumberFormat="1" applyFont="1" applyFill="1" applyBorder="1" applyAlignment="1" applyProtection="1">
      <alignment horizontal="center" vertical="center"/>
    </xf>
    <xf numFmtId="169" fontId="41" fillId="25" borderId="0" xfId="0" applyNumberFormat="1" applyFont="1" applyFill="1" applyBorder="1" applyAlignment="1" applyProtection="1">
      <alignment vertical="center"/>
    </xf>
    <xf numFmtId="0" fontId="41" fillId="25" borderId="0" xfId="0" applyFont="1" applyFill="1" applyBorder="1" applyAlignment="1" applyProtection="1">
      <alignment horizontal="right" vertical="center"/>
    </xf>
    <xf numFmtId="10" fontId="19" fillId="25" borderId="64" xfId="0" applyNumberFormat="1" applyFont="1" applyFill="1" applyBorder="1" applyAlignment="1" applyProtection="1">
      <alignment horizontal="right" vertical="center"/>
    </xf>
    <xf numFmtId="164" fontId="48" fillId="8" borderId="110" xfId="0" applyNumberFormat="1" applyFont="1" applyFill="1" applyBorder="1" applyAlignment="1" applyProtection="1">
      <alignment vertical="center"/>
    </xf>
    <xf numFmtId="0" fontId="48" fillId="25" borderId="111" xfId="0" applyFont="1" applyFill="1" applyBorder="1" applyAlignment="1" applyProtection="1">
      <alignment horizontal="center" vertical="center" wrapText="1"/>
    </xf>
    <xf numFmtId="0" fontId="48" fillId="25" borderId="85" xfId="0" applyNumberFormat="1" applyFont="1" applyFill="1" applyBorder="1" applyAlignment="1" applyProtection="1">
      <alignment horizontal="center" vertical="center" wrapText="1"/>
    </xf>
    <xf numFmtId="169" fontId="48" fillId="26" borderId="85" xfId="0" applyNumberFormat="1" applyFont="1" applyFill="1" applyBorder="1" applyAlignment="1" applyProtection="1">
      <alignment horizontal="center" vertical="center" wrapText="1"/>
    </xf>
    <xf numFmtId="169" fontId="48" fillId="0" borderId="49" xfId="0" applyNumberFormat="1" applyFont="1" applyFill="1" applyBorder="1" applyAlignment="1" applyProtection="1">
      <alignment horizontal="center" vertical="center" wrapText="1"/>
    </xf>
    <xf numFmtId="0" fontId="41" fillId="25" borderId="111" xfId="0" applyFont="1" applyFill="1" applyBorder="1" applyAlignment="1" applyProtection="1">
      <alignment horizontal="center" vertical="center"/>
    </xf>
    <xf numFmtId="164" fontId="41" fillId="25" borderId="112" xfId="32" applyNumberFormat="1" applyFont="1" applyFill="1" applyBorder="1" applyAlignment="1" applyProtection="1">
      <alignment vertical="center"/>
    </xf>
    <xf numFmtId="164" fontId="41" fillId="26" borderId="113" xfId="32" applyFont="1" applyFill="1" applyBorder="1" applyAlignment="1" applyProtection="1">
      <alignment vertical="center"/>
    </xf>
    <xf numFmtId="0" fontId="48" fillId="8" borderId="114" xfId="0" applyFont="1" applyFill="1" applyBorder="1" applyAlignment="1" applyProtection="1">
      <alignment horizontal="center" vertical="center"/>
    </xf>
    <xf numFmtId="164" fontId="48" fillId="8" borderId="114" xfId="32" applyFont="1" applyFill="1" applyBorder="1" applyAlignment="1" applyProtection="1">
      <alignment vertical="center"/>
    </xf>
    <xf numFmtId="0" fontId="41" fillId="0" borderId="45" xfId="0" applyFont="1" applyFill="1" applyBorder="1" applyAlignment="1" applyProtection="1">
      <alignment vertical="center"/>
    </xf>
    <xf numFmtId="164" fontId="41" fillId="25" borderId="64" xfId="0" applyNumberFormat="1" applyFont="1" applyFill="1" applyBorder="1" applyAlignment="1" applyProtection="1">
      <alignment vertical="center"/>
    </xf>
    <xf numFmtId="172" fontId="49" fillId="25" borderId="115" xfId="0" applyNumberFormat="1" applyFont="1" applyFill="1" applyBorder="1" applyAlignment="1" applyProtection="1">
      <alignment horizontal="center" vertical="center"/>
    </xf>
    <xf numFmtId="0" fontId="41" fillId="28" borderId="116" xfId="0" applyFont="1" applyFill="1" applyBorder="1" applyAlignment="1" applyProtection="1">
      <alignment vertical="center"/>
    </xf>
    <xf numFmtId="2" fontId="49" fillId="25" borderId="115" xfId="0" applyNumberFormat="1" applyFont="1" applyFill="1" applyBorder="1" applyAlignment="1" applyProtection="1">
      <alignment horizontal="center" vertical="center"/>
    </xf>
    <xf numFmtId="0" fontId="41" fillId="28" borderId="45" xfId="0" applyFont="1" applyFill="1" applyBorder="1" applyAlignment="1" applyProtection="1">
      <alignment vertical="center"/>
    </xf>
    <xf numFmtId="174" fontId="49" fillId="25" borderId="117" xfId="0" applyNumberFormat="1" applyFont="1" applyFill="1" applyBorder="1" applyAlignment="1" applyProtection="1">
      <alignment horizontal="center" vertical="center"/>
    </xf>
    <xf numFmtId="172" fontId="49" fillId="25" borderId="26" xfId="0" applyNumberFormat="1" applyFont="1" applyFill="1" applyBorder="1" applyAlignment="1" applyProtection="1">
      <alignment horizontal="center" vertical="center"/>
    </xf>
    <xf numFmtId="10" fontId="49" fillId="25" borderId="117" xfId="0" applyNumberFormat="1" applyFont="1" applyFill="1" applyBorder="1" applyAlignment="1" applyProtection="1">
      <alignment horizontal="center" vertical="center"/>
    </xf>
    <xf numFmtId="172" fontId="49" fillId="0" borderId="45" xfId="0" applyNumberFormat="1" applyFont="1" applyFill="1" applyBorder="1" applyAlignment="1" applyProtection="1">
      <alignment horizontal="center" vertical="center"/>
    </xf>
    <xf numFmtId="10" fontId="72" fillId="25" borderId="45" xfId="36" applyNumberFormat="1" applyFill="1" applyBorder="1" applyAlignment="1" applyProtection="1">
      <alignment horizontal="center" vertical="center"/>
    </xf>
    <xf numFmtId="1" fontId="50" fillId="0" borderId="45" xfId="37" applyNumberFormat="1" applyFont="1" applyFill="1" applyBorder="1" applyAlignment="1" applyProtection="1">
      <alignment horizontal="center" vertical="center"/>
      <protection locked="0"/>
    </xf>
    <xf numFmtId="1" fontId="66" fillId="0" borderId="45" xfId="37" applyNumberFormat="1" applyFont="1" applyFill="1" applyBorder="1" applyAlignment="1" applyProtection="1">
      <alignment horizontal="center" vertical="center"/>
      <protection locked="0"/>
    </xf>
    <xf numFmtId="1" fontId="50" fillId="0" borderId="0" xfId="37" applyNumberFormat="1" applyFont="1" applyFill="1" applyBorder="1" applyAlignment="1" applyProtection="1">
      <alignment horizontal="center" vertical="center"/>
      <protection locked="0"/>
    </xf>
    <xf numFmtId="0" fontId="41" fillId="25" borderId="35" xfId="0" applyFont="1" applyFill="1" applyBorder="1" applyAlignment="1" applyProtection="1">
      <alignment vertical="center"/>
    </xf>
    <xf numFmtId="0" fontId="41" fillId="25" borderId="118" xfId="0" applyFont="1" applyFill="1" applyBorder="1" applyAlignment="1" applyProtection="1">
      <alignment vertical="center"/>
    </xf>
    <xf numFmtId="1" fontId="50" fillId="0" borderId="118" xfId="37" applyNumberFormat="1" applyFont="1" applyFill="1" applyBorder="1" applyAlignment="1" applyProtection="1">
      <alignment horizontal="center" vertical="center"/>
      <protection locked="0"/>
    </xf>
    <xf numFmtId="172" fontId="50" fillId="0" borderId="119" xfId="37" applyNumberFormat="1" applyFont="1" applyFill="1" applyBorder="1" applyAlignment="1" applyProtection="1">
      <alignment horizontal="center" vertical="center"/>
      <protection locked="0"/>
    </xf>
    <xf numFmtId="2" fontId="50" fillId="0" borderId="45" xfId="37" applyNumberFormat="1" applyFont="1" applyFill="1" applyBorder="1" applyAlignment="1" applyProtection="1">
      <alignment horizontal="center" vertical="center"/>
      <protection locked="0"/>
    </xf>
    <xf numFmtId="172" fontId="50" fillId="0" borderId="120" xfId="37" applyNumberFormat="1" applyFont="1" applyFill="1" applyBorder="1" applyAlignment="1" applyProtection="1">
      <alignment horizontal="center" vertical="center"/>
      <protection locked="0"/>
    </xf>
    <xf numFmtId="1" fontId="50" fillId="0" borderId="121" xfId="37" applyNumberFormat="1" applyFont="1" applyFill="1" applyBorder="1" applyAlignment="1" applyProtection="1">
      <alignment horizontal="center" vertical="center"/>
      <protection locked="0"/>
    </xf>
    <xf numFmtId="1" fontId="50" fillId="0" borderId="122" xfId="37" applyNumberFormat="1" applyFont="1" applyFill="1" applyBorder="1" applyAlignment="1" applyProtection="1">
      <alignment horizontal="center" vertical="center"/>
      <protection locked="0"/>
    </xf>
    <xf numFmtId="1" fontId="50" fillId="0" borderId="120" xfId="37" applyNumberFormat="1" applyFont="1" applyFill="1" applyBorder="1" applyAlignment="1" applyProtection="1">
      <alignment horizontal="center" vertical="center"/>
      <protection locked="0"/>
    </xf>
    <xf numFmtId="1" fontId="50" fillId="0" borderId="123" xfId="37" applyNumberFormat="1" applyFont="1" applyFill="1" applyBorder="1" applyAlignment="1" applyProtection="1">
      <alignment horizontal="center" vertical="center"/>
      <protection locked="0"/>
    </xf>
    <xf numFmtId="0" fontId="41" fillId="28" borderId="49" xfId="0" applyFont="1" applyFill="1" applyBorder="1" applyAlignment="1" applyProtection="1">
      <alignment vertical="center"/>
    </xf>
    <xf numFmtId="0" fontId="41" fillId="0" borderId="58" xfId="0" applyFont="1" applyFill="1" applyBorder="1" applyAlignment="1" applyProtection="1">
      <alignment vertical="center"/>
    </xf>
    <xf numFmtId="0" fontId="41" fillId="0" borderId="60" xfId="0" applyFont="1" applyFill="1" applyBorder="1" applyAlignment="1" applyProtection="1">
      <alignment vertical="center"/>
    </xf>
    <xf numFmtId="0" fontId="41" fillId="0" borderId="59" xfId="0" applyFont="1" applyFill="1" applyBorder="1" applyAlignment="1" applyProtection="1">
      <alignment vertical="center"/>
    </xf>
    <xf numFmtId="10" fontId="67" fillId="25" borderId="117" xfId="0" applyNumberFormat="1" applyFont="1" applyFill="1" applyBorder="1" applyAlignment="1" applyProtection="1">
      <alignment horizontal="center" vertical="center"/>
    </xf>
    <xf numFmtId="164" fontId="41" fillId="25" borderId="4" xfId="0" applyNumberFormat="1" applyFont="1" applyFill="1" applyBorder="1" applyAlignment="1" applyProtection="1">
      <alignment horizontal="center" vertical="center"/>
    </xf>
    <xf numFmtId="175" fontId="0" fillId="0" borderId="4" xfId="0" applyNumberFormat="1" applyFont="1" applyBorder="1" applyAlignment="1" applyProtection="1">
      <alignment horizontal="center" vertical="center"/>
    </xf>
    <xf numFmtId="174" fontId="49" fillId="25" borderId="4" xfId="0" applyNumberFormat="1" applyFont="1" applyFill="1" applyBorder="1" applyAlignment="1" applyProtection="1">
      <alignment horizontal="center" vertical="center"/>
    </xf>
    <xf numFmtId="164" fontId="41" fillId="25" borderId="4" xfId="0" applyNumberFormat="1" applyFont="1" applyFill="1" applyBorder="1" applyAlignment="1" applyProtection="1">
      <alignment vertical="center"/>
    </xf>
    <xf numFmtId="174" fontId="49" fillId="25" borderId="124" xfId="0" applyNumberFormat="1" applyFont="1" applyFill="1" applyBorder="1" applyAlignment="1" applyProtection="1">
      <alignment horizontal="center" vertical="center"/>
    </xf>
    <xf numFmtId="174" fontId="49" fillId="25" borderId="35" xfId="0" applyNumberFormat="1" applyFont="1" applyFill="1" applyBorder="1" applyAlignment="1" applyProtection="1">
      <alignment horizontal="center" vertical="center"/>
    </xf>
    <xf numFmtId="2" fontId="50" fillId="0" borderId="0" xfId="37" applyNumberFormat="1" applyFont="1" applyFill="1" applyBorder="1" applyAlignment="1" applyProtection="1">
      <alignment horizontal="center" vertical="center"/>
      <protection locked="0"/>
    </xf>
    <xf numFmtId="174" fontId="49" fillId="25" borderId="125" xfId="0" applyNumberFormat="1" applyFont="1" applyFill="1" applyBorder="1" applyAlignment="1" applyProtection="1">
      <alignment horizontal="center" vertical="center"/>
    </xf>
    <xf numFmtId="176" fontId="50" fillId="0" borderId="4" xfId="37" applyNumberFormat="1" applyFont="1" applyFill="1" applyBorder="1" applyAlignment="1" applyProtection="1">
      <alignment horizontal="center" vertical="center"/>
      <protection locked="0"/>
    </xf>
    <xf numFmtId="164" fontId="48" fillId="25" borderId="52" xfId="0" applyNumberFormat="1" applyFont="1" applyFill="1" applyBorder="1" applyAlignment="1" applyProtection="1">
      <alignment vertical="center"/>
    </xf>
    <xf numFmtId="164" fontId="41" fillId="25" borderId="126" xfId="0" applyNumberFormat="1" applyFont="1" applyFill="1" applyBorder="1" applyAlignment="1" applyProtection="1">
      <alignment vertical="center"/>
    </xf>
    <xf numFmtId="169" fontId="48" fillId="29" borderId="48" xfId="0" applyNumberFormat="1" applyFont="1" applyFill="1" applyBorder="1" applyAlignment="1" applyProtection="1">
      <alignment horizontal="center" vertical="center"/>
    </xf>
    <xf numFmtId="169" fontId="48" fillId="29" borderId="48" xfId="0" applyNumberFormat="1" applyFont="1" applyFill="1" applyBorder="1" applyAlignment="1" applyProtection="1">
      <alignment horizontal="left" vertical="center"/>
    </xf>
    <xf numFmtId="0" fontId="41" fillId="29" borderId="60" xfId="0" applyFont="1" applyFill="1" applyBorder="1" applyAlignment="1" applyProtection="1">
      <alignment vertical="center"/>
    </xf>
    <xf numFmtId="10" fontId="51" fillId="29" borderId="60" xfId="0" applyNumberFormat="1" applyFont="1" applyFill="1" applyBorder="1" applyAlignment="1" applyProtection="1">
      <alignment horizontal="center" vertical="center"/>
    </xf>
    <xf numFmtId="164" fontId="48" fillId="29" borderId="60" xfId="0" applyNumberFormat="1" applyFont="1" applyFill="1" applyBorder="1" applyAlignment="1" applyProtection="1">
      <alignment vertical="center"/>
    </xf>
    <xf numFmtId="0" fontId="20" fillId="0" borderId="127" xfId="34" applyFont="1" applyBorder="1" applyAlignment="1" applyProtection="1">
      <alignment horizontal="center" vertical="center"/>
      <protection hidden="1"/>
    </xf>
    <xf numFmtId="0" fontId="20" fillId="0" borderId="128" xfId="34" applyFont="1" applyBorder="1" applyAlignment="1" applyProtection="1">
      <alignment horizontal="center" vertical="center"/>
      <protection hidden="1"/>
    </xf>
    <xf numFmtId="0" fontId="68" fillId="0" borderId="0" xfId="0" applyFont="1" applyAlignment="1" applyProtection="1">
      <alignment vertical="center"/>
    </xf>
    <xf numFmtId="0" fontId="69" fillId="0" borderId="0" xfId="34" applyFont="1" applyAlignment="1" applyProtection="1">
      <alignment vertical="center"/>
      <protection hidden="1"/>
    </xf>
    <xf numFmtId="0" fontId="0" fillId="0" borderId="129" xfId="0" applyBorder="1" applyAlignment="1">
      <alignment horizontal="center"/>
    </xf>
    <xf numFmtId="0" fontId="36" fillId="0" borderId="130" xfId="34" applyNumberFormat="1" applyFont="1" applyBorder="1" applyAlignment="1" applyProtection="1">
      <alignment horizontal="right" vertical="center"/>
      <protection hidden="1"/>
    </xf>
    <xf numFmtId="0" fontId="36" fillId="0" borderId="17" xfId="34" applyNumberFormat="1" applyFont="1" applyBorder="1" applyAlignment="1" applyProtection="1">
      <alignment horizontal="left" vertical="center"/>
      <protection hidden="1"/>
    </xf>
    <xf numFmtId="49" fontId="36" fillId="0" borderId="130" xfId="34" applyNumberFormat="1" applyFont="1" applyBorder="1" applyAlignment="1" applyProtection="1">
      <alignment horizontal="right" vertical="center"/>
      <protection hidden="1"/>
    </xf>
    <xf numFmtId="49" fontId="36" fillId="0" borderId="17" xfId="34" applyNumberFormat="1" applyFont="1" applyBorder="1" applyAlignment="1" applyProtection="1">
      <alignment horizontal="left" vertical="center"/>
      <protection hidden="1"/>
    </xf>
    <xf numFmtId="49" fontId="48" fillId="26" borderId="131" xfId="32" applyNumberFormat="1" applyFont="1" applyFill="1" applyBorder="1" applyAlignment="1" applyProtection="1">
      <alignment horizontal="right" vertical="center"/>
    </xf>
    <xf numFmtId="49" fontId="48" fillId="26" borderId="112" xfId="32" applyNumberFormat="1" applyFont="1" applyFill="1" applyBorder="1" applyAlignment="1" applyProtection="1">
      <alignment horizontal="left" vertical="center"/>
    </xf>
    <xf numFmtId="1" fontId="48" fillId="25" borderId="132" xfId="0" applyNumberFormat="1" applyFont="1" applyFill="1" applyBorder="1" applyAlignment="1" applyProtection="1">
      <alignment horizontal="center" vertical="center"/>
    </xf>
    <xf numFmtId="10" fontId="39" fillId="0" borderId="49" xfId="36" applyNumberFormat="1" applyFont="1" applyFill="1" applyBorder="1" applyAlignment="1" applyProtection="1">
      <alignment horizontal="center" vertical="center"/>
    </xf>
    <xf numFmtId="14" fontId="51" fillId="30" borderId="133" xfId="0" applyNumberFormat="1" applyFont="1" applyFill="1" applyBorder="1" applyAlignment="1" applyProtection="1">
      <alignment horizontal="center"/>
    </xf>
    <xf numFmtId="20" fontId="51" fillId="30" borderId="133" xfId="0" applyNumberFormat="1" applyFont="1" applyFill="1" applyBorder="1" applyAlignment="1" applyProtection="1">
      <alignment horizontal="center"/>
    </xf>
    <xf numFmtId="0" fontId="41" fillId="25" borderId="0" xfId="0" applyFont="1" applyFill="1" applyBorder="1" applyAlignment="1" applyProtection="1">
      <alignment horizontal="center" vertical="center"/>
    </xf>
    <xf numFmtId="0" fontId="41" fillId="31" borderId="54" xfId="0" applyFont="1" applyFill="1" applyBorder="1" applyAlignment="1" applyProtection="1">
      <alignment vertical="center"/>
    </xf>
    <xf numFmtId="164" fontId="41" fillId="32" borderId="109" xfId="0" applyNumberFormat="1" applyFont="1" applyFill="1" applyBorder="1" applyAlignment="1" applyProtection="1">
      <alignment vertical="center"/>
    </xf>
    <xf numFmtId="0" fontId="41" fillId="33" borderId="0" xfId="0" applyFont="1" applyFill="1" applyBorder="1" applyAlignment="1" applyProtection="1">
      <alignment vertical="center"/>
    </xf>
    <xf numFmtId="10" fontId="50" fillId="0" borderId="51" xfId="37" applyNumberFormat="1" applyFont="1" applyFill="1" applyBorder="1" applyAlignment="1" applyProtection="1">
      <alignment horizontal="center" vertical="center"/>
    </xf>
    <xf numFmtId="0" fontId="41" fillId="25" borderId="134" xfId="0" applyFont="1" applyFill="1" applyBorder="1" applyAlignment="1" applyProtection="1">
      <alignment horizontal="center" vertical="center"/>
    </xf>
    <xf numFmtId="0" fontId="41" fillId="25" borderId="135" xfId="0" applyFont="1" applyFill="1" applyBorder="1" applyAlignment="1" applyProtection="1">
      <alignment vertical="center"/>
    </xf>
    <xf numFmtId="0" fontId="20" fillId="0" borderId="136" xfId="34" applyFont="1" applyBorder="1" applyAlignment="1" applyProtection="1">
      <alignment horizontal="center" vertical="center"/>
      <protection hidden="1"/>
    </xf>
    <xf numFmtId="0" fontId="18" fillId="34" borderId="0" xfId="34" applyFont="1" applyFill="1" applyAlignment="1">
      <alignment vertical="center"/>
    </xf>
    <xf numFmtId="164" fontId="41" fillId="22" borderId="52" xfId="0" applyNumberFormat="1" applyFont="1" applyFill="1" applyBorder="1" applyAlignment="1" applyProtection="1">
      <alignment vertical="center"/>
      <protection locked="0"/>
    </xf>
    <xf numFmtId="10" fontId="18" fillId="0" borderId="0" xfId="34" applyNumberFormat="1" applyFont="1" applyAlignment="1">
      <alignment horizontal="center" vertical="center"/>
    </xf>
    <xf numFmtId="172" fontId="18" fillId="0" borderId="0" xfId="34" applyNumberFormat="1" applyFont="1" applyAlignment="1">
      <alignment vertical="center"/>
    </xf>
    <xf numFmtId="14" fontId="50" fillId="22" borderId="52" xfId="0" applyNumberFormat="1" applyFont="1" applyFill="1" applyBorder="1" applyAlignment="1" applyProtection="1">
      <alignment horizontal="center" vertical="center"/>
      <protection locked="0"/>
    </xf>
    <xf numFmtId="0" fontId="48" fillId="25" borderId="94" xfId="0" applyFont="1" applyFill="1" applyBorder="1" applyAlignment="1" applyProtection="1">
      <alignment vertical="center"/>
    </xf>
    <xf numFmtId="0" fontId="48" fillId="25" borderId="131" xfId="0" applyFont="1" applyFill="1" applyBorder="1" applyAlignment="1" applyProtection="1">
      <alignment vertical="center"/>
    </xf>
    <xf numFmtId="0" fontId="48" fillId="25" borderId="137" xfId="0" applyFont="1" applyFill="1" applyBorder="1" applyAlignment="1" applyProtection="1">
      <alignment vertical="center"/>
    </xf>
    <xf numFmtId="0" fontId="20" fillId="0" borderId="0" xfId="34" applyNumberFormat="1" applyFont="1" applyAlignment="1">
      <alignment horizontal="center" vertical="center"/>
    </xf>
    <xf numFmtId="0" fontId="18" fillId="0" borderId="138" xfId="34" applyFont="1" applyBorder="1" applyAlignment="1" applyProtection="1">
      <alignment vertical="center"/>
      <protection hidden="1"/>
    </xf>
    <xf numFmtId="0" fontId="18" fillId="0" borderId="139" xfId="34" applyFont="1" applyBorder="1" applyAlignment="1" applyProtection="1">
      <alignment vertical="center"/>
      <protection hidden="1"/>
    </xf>
    <xf numFmtId="0" fontId="37" fillId="18" borderId="140" xfId="34" applyFont="1" applyFill="1" applyBorder="1" applyAlignment="1" applyProtection="1">
      <alignment horizontal="center" vertical="center"/>
      <protection hidden="1"/>
    </xf>
    <xf numFmtId="0" fontId="37" fillId="18" borderId="141" xfId="34" applyFont="1" applyFill="1" applyBorder="1" applyAlignment="1" applyProtection="1">
      <alignment horizontal="center" vertical="center"/>
      <protection hidden="1"/>
    </xf>
    <xf numFmtId="0" fontId="18" fillId="24" borderId="142" xfId="34" applyFont="1" applyFill="1" applyBorder="1" applyAlignment="1" applyProtection="1">
      <alignment horizontal="left" vertical="center" indent="2"/>
      <protection hidden="1"/>
    </xf>
    <xf numFmtId="10" fontId="36" fillId="2" borderId="143" xfId="38" applyNumberFormat="1" applyFont="1" applyFill="1" applyBorder="1" applyAlignment="1" applyProtection="1">
      <alignment horizontal="center" vertical="center"/>
      <protection hidden="1"/>
    </xf>
    <xf numFmtId="0" fontId="18" fillId="0" borderId="142" xfId="34" applyFont="1" applyFill="1" applyBorder="1" applyAlignment="1" applyProtection="1">
      <alignment horizontal="left" vertical="center" indent="2"/>
      <protection hidden="1"/>
    </xf>
    <xf numFmtId="10" fontId="18" fillId="2" borderId="144" xfId="38" applyNumberFormat="1" applyFont="1" applyFill="1" applyBorder="1" applyAlignment="1" applyProtection="1">
      <alignment horizontal="center" vertical="center"/>
      <protection hidden="1"/>
    </xf>
    <xf numFmtId="0" fontId="18" fillId="0" borderId="142" xfId="34" applyFont="1" applyBorder="1" applyAlignment="1" applyProtection="1">
      <alignment vertical="center"/>
      <protection hidden="1"/>
    </xf>
    <xf numFmtId="10" fontId="18" fillId="2" borderId="145" xfId="38" applyNumberFormat="1" applyFont="1" applyFill="1" applyBorder="1" applyAlignment="1" applyProtection="1">
      <alignment horizontal="center" vertical="center"/>
      <protection hidden="1"/>
    </xf>
    <xf numFmtId="10" fontId="18" fillId="2" borderId="146" xfId="38" applyNumberFormat="1" applyFont="1" applyFill="1" applyBorder="1" applyAlignment="1" applyProtection="1">
      <alignment horizontal="center" vertical="center"/>
      <protection hidden="1"/>
    </xf>
    <xf numFmtId="10" fontId="36" fillId="8" borderId="147" xfId="38" applyNumberFormat="1" applyFont="1" applyFill="1" applyBorder="1" applyAlignment="1" applyProtection="1">
      <alignment horizontal="center" vertical="center"/>
      <protection hidden="1"/>
    </xf>
    <xf numFmtId="0" fontId="42" fillId="0" borderId="142" xfId="34" applyFont="1" applyBorder="1" applyAlignment="1" applyProtection="1">
      <alignment horizontal="left" vertical="center" indent="2"/>
      <protection hidden="1"/>
    </xf>
    <xf numFmtId="10" fontId="38" fillId="18" borderId="147" xfId="38" applyNumberFormat="1" applyFont="1" applyFill="1" applyBorder="1" applyAlignment="1" applyProtection="1">
      <alignment horizontal="center" vertical="center"/>
      <protection hidden="1"/>
    </xf>
    <xf numFmtId="178" fontId="0" fillId="0" borderId="148" xfId="0" applyNumberFormat="1" applyBorder="1" applyAlignment="1">
      <alignment horizontal="center"/>
    </xf>
    <xf numFmtId="0" fontId="0" fillId="0" borderId="149" xfId="34" applyFont="1" applyBorder="1" applyAlignment="1">
      <alignment vertical="center" wrapText="1"/>
    </xf>
    <xf numFmtId="0" fontId="0" fillId="0" borderId="26" xfId="34" applyFont="1" applyBorder="1" applyAlignment="1">
      <alignment vertical="center" wrapText="1"/>
    </xf>
    <xf numFmtId="10" fontId="74" fillId="0" borderId="144" xfId="38" applyNumberFormat="1" applyFont="1" applyFill="1" applyBorder="1" applyAlignment="1" applyProtection="1">
      <alignment horizontal="center" vertical="center"/>
      <protection hidden="1"/>
    </xf>
    <xf numFmtId="10" fontId="74" fillId="0" borderId="145" xfId="38" applyNumberFormat="1" applyFont="1" applyFill="1" applyBorder="1" applyAlignment="1" applyProtection="1">
      <alignment horizontal="center" vertical="center"/>
      <protection hidden="1"/>
    </xf>
    <xf numFmtId="0" fontId="21" fillId="0" borderId="0" xfId="34" applyFont="1" applyBorder="1" applyAlignment="1">
      <alignment horizontal="center" vertical="center"/>
    </xf>
    <xf numFmtId="0" fontId="22" fillId="0" borderId="0" xfId="34" applyFont="1" applyBorder="1" applyAlignment="1" applyProtection="1">
      <alignment horizontal="justify" vertical="center" wrapText="1"/>
      <protection hidden="1"/>
    </xf>
    <xf numFmtId="0" fontId="23" fillId="0" borderId="0" xfId="34" applyFont="1" applyBorder="1" applyAlignment="1" applyProtection="1">
      <alignment horizontal="justify" vertical="center" wrapText="1"/>
      <protection hidden="1"/>
    </xf>
    <xf numFmtId="0" fontId="24" fillId="0" borderId="0" xfId="34" applyFont="1" applyBorder="1" applyAlignment="1">
      <alignment horizontal="center" vertical="center"/>
    </xf>
    <xf numFmtId="0" fontId="27" fillId="0" borderId="0" xfId="34" applyFont="1" applyBorder="1" applyAlignment="1" applyProtection="1">
      <alignment horizontal="justify" vertical="center" wrapText="1"/>
      <protection hidden="1"/>
    </xf>
    <xf numFmtId="0" fontId="29" fillId="0" borderId="0" xfId="34" applyFont="1" applyBorder="1" applyAlignment="1">
      <alignment horizontal="left" vertical="center" indent="4"/>
    </xf>
    <xf numFmtId="0" fontId="32" fillId="0" borderId="0" xfId="31" applyNumberFormat="1" applyFont="1" applyFill="1" applyBorder="1" applyAlignment="1" applyProtection="1">
      <alignment horizontal="center" vertical="center" shrinkToFit="1"/>
      <protection locked="0"/>
    </xf>
    <xf numFmtId="0" fontId="33" fillId="0" borderId="0" xfId="34" applyFont="1" applyBorder="1" applyAlignment="1">
      <alignment horizontal="center" vertical="center"/>
    </xf>
    <xf numFmtId="0" fontId="30" fillId="0" borderId="0" xfId="34" applyFont="1" applyBorder="1" applyAlignment="1" applyProtection="1">
      <alignment horizontal="left" vertical="center" wrapText="1" indent="8"/>
      <protection hidden="1"/>
    </xf>
    <xf numFmtId="172" fontId="50" fillId="0" borderId="150" xfId="37" applyNumberFormat="1" applyFont="1" applyFill="1" applyBorder="1" applyAlignment="1" applyProtection="1">
      <alignment horizontal="center" vertical="center"/>
      <protection locked="0"/>
    </xf>
    <xf numFmtId="172" fontId="50" fillId="0" borderId="151" xfId="37" applyNumberFormat="1" applyFont="1" applyFill="1" applyBorder="1" applyAlignment="1" applyProtection="1">
      <alignment horizontal="center" vertical="center"/>
      <protection locked="0"/>
    </xf>
    <xf numFmtId="10" fontId="49" fillId="25" borderId="152" xfId="0" applyNumberFormat="1" applyFont="1" applyFill="1" applyBorder="1" applyAlignment="1" applyProtection="1">
      <alignment horizontal="center" vertical="center"/>
    </xf>
    <xf numFmtId="10" fontId="49" fillId="25" borderId="153" xfId="0" applyNumberFormat="1" applyFont="1" applyFill="1" applyBorder="1" applyAlignment="1" applyProtection="1">
      <alignment horizontal="center" vertical="center"/>
    </xf>
    <xf numFmtId="2" fontId="50" fillId="0" borderId="49" xfId="37" applyNumberFormat="1" applyFont="1" applyFill="1" applyBorder="1" applyAlignment="1" applyProtection="1">
      <alignment horizontal="center" vertical="center"/>
      <protection locked="0"/>
    </xf>
    <xf numFmtId="172" fontId="50" fillId="0" borderId="154" xfId="37" applyNumberFormat="1" applyFont="1" applyFill="1" applyBorder="1" applyAlignment="1" applyProtection="1">
      <alignment horizontal="center" vertical="center"/>
      <protection locked="0"/>
    </xf>
    <xf numFmtId="2" fontId="50" fillId="0" borderId="124" xfId="37" applyNumberFormat="1" applyFont="1" applyFill="1" applyBorder="1" applyAlignment="1" applyProtection="1">
      <alignment horizontal="center" vertical="center"/>
      <protection locked="0"/>
    </xf>
    <xf numFmtId="0" fontId="41" fillId="28" borderId="115" xfId="0" applyFont="1" applyFill="1" applyBorder="1" applyAlignment="1" applyProtection="1">
      <alignment horizontal="center" vertical="center"/>
    </xf>
    <xf numFmtId="0" fontId="41" fillId="28" borderId="134" xfId="0" applyFont="1" applyFill="1" applyBorder="1" applyAlignment="1" applyProtection="1">
      <alignment horizontal="center" vertical="center"/>
    </xf>
    <xf numFmtId="0" fontId="41" fillId="28" borderId="116" xfId="0" applyFont="1" applyFill="1" applyBorder="1" applyAlignment="1" applyProtection="1">
      <alignment horizontal="center" vertical="center"/>
    </xf>
    <xf numFmtId="10" fontId="49" fillId="25" borderId="155" xfId="0" applyNumberFormat="1" applyFont="1" applyFill="1" applyBorder="1" applyAlignment="1" applyProtection="1">
      <alignment horizontal="center" vertical="center"/>
    </xf>
    <xf numFmtId="10" fontId="49" fillId="25" borderId="104" xfId="0" applyNumberFormat="1" applyFont="1" applyFill="1" applyBorder="1" applyAlignment="1" applyProtection="1">
      <alignment horizontal="center" vertical="center"/>
    </xf>
    <xf numFmtId="0" fontId="48" fillId="25" borderId="156" xfId="0" applyNumberFormat="1" applyFont="1" applyFill="1" applyBorder="1" applyAlignment="1" applyProtection="1">
      <alignment horizontal="center" vertical="center" wrapText="1"/>
    </xf>
    <xf numFmtId="0" fontId="48" fillId="25" borderId="157" xfId="0" applyNumberFormat="1" applyFont="1" applyFill="1" applyBorder="1" applyAlignment="1" applyProtection="1">
      <alignment horizontal="center" vertical="center" wrapText="1"/>
    </xf>
    <xf numFmtId="2" fontId="50" fillId="0" borderId="134" xfId="37" applyNumberFormat="1" applyFont="1" applyFill="1" applyBorder="1" applyAlignment="1" applyProtection="1">
      <alignment horizontal="center" vertical="center"/>
      <protection locked="0"/>
    </xf>
    <xf numFmtId="0" fontId="48" fillId="25" borderId="117" xfId="0" applyNumberFormat="1" applyFont="1" applyFill="1" applyBorder="1" applyAlignment="1" applyProtection="1">
      <alignment horizontal="center" vertical="center" wrapText="1"/>
    </xf>
    <xf numFmtId="0" fontId="0" fillId="0" borderId="158" xfId="0" applyBorder="1"/>
    <xf numFmtId="0" fontId="48" fillId="25" borderId="159" xfId="0" applyNumberFormat="1" applyFont="1" applyFill="1" applyBorder="1" applyAlignment="1" applyProtection="1">
      <alignment horizontal="center" vertical="center" wrapText="1"/>
    </xf>
    <xf numFmtId="0" fontId="0" fillId="0" borderId="160" xfId="0" applyBorder="1"/>
    <xf numFmtId="172" fontId="49" fillId="25" borderId="26" xfId="0" applyNumberFormat="1" applyFont="1" applyFill="1" applyBorder="1" applyAlignment="1" applyProtection="1">
      <alignment horizontal="center" vertical="center"/>
    </xf>
    <xf numFmtId="10" fontId="49" fillId="25" borderId="134" xfId="0" applyNumberFormat="1" applyFont="1" applyFill="1" applyBorder="1" applyAlignment="1" applyProtection="1">
      <alignment horizontal="center" vertical="center"/>
    </xf>
    <xf numFmtId="0" fontId="48" fillId="25" borderId="158" xfId="0" applyNumberFormat="1" applyFont="1" applyFill="1" applyBorder="1" applyAlignment="1" applyProtection="1">
      <alignment horizontal="center" vertical="center" wrapText="1"/>
    </xf>
    <xf numFmtId="2" fontId="51" fillId="25" borderId="26" xfId="0" applyNumberFormat="1" applyFont="1" applyFill="1" applyBorder="1" applyAlignment="1" applyProtection="1">
      <alignment horizontal="center" vertical="center"/>
    </xf>
    <xf numFmtId="10" fontId="49" fillId="25" borderId="26" xfId="0" applyNumberFormat="1" applyFont="1" applyFill="1" applyBorder="1" applyAlignment="1" applyProtection="1">
      <alignment horizontal="center" vertical="center"/>
    </xf>
    <xf numFmtId="167" fontId="36" fillId="24" borderId="32" xfId="34" applyNumberFormat="1" applyFont="1" applyFill="1" applyBorder="1" applyAlignment="1" applyProtection="1">
      <alignment horizontal="center" vertical="center"/>
      <protection locked="0"/>
    </xf>
    <xf numFmtId="20" fontId="36" fillId="24" borderId="32" xfId="34" applyNumberFormat="1" applyFont="1" applyFill="1" applyBorder="1" applyAlignment="1" applyProtection="1">
      <alignment horizontal="center" vertical="center"/>
      <protection locked="0"/>
    </xf>
    <xf numFmtId="0" fontId="35" fillId="0" borderId="130" xfId="34" applyFont="1" applyFill="1" applyBorder="1" applyAlignment="1" applyProtection="1">
      <alignment horizontal="center" vertical="center"/>
      <protection hidden="1"/>
    </xf>
    <xf numFmtId="0" fontId="35" fillId="0" borderId="16" xfId="34" applyFont="1" applyFill="1" applyBorder="1" applyAlignment="1" applyProtection="1">
      <alignment horizontal="center" vertical="center"/>
      <protection hidden="1"/>
    </xf>
    <xf numFmtId="0" fontId="35" fillId="0" borderId="17" xfId="34" applyFont="1" applyFill="1" applyBorder="1" applyAlignment="1" applyProtection="1">
      <alignment horizontal="center" vertical="center"/>
      <protection hidden="1"/>
    </xf>
    <xf numFmtId="0" fontId="36" fillId="0" borderId="32" xfId="34" applyNumberFormat="1" applyFont="1" applyBorder="1" applyAlignment="1" applyProtection="1">
      <alignment horizontal="center" vertical="center"/>
      <protection hidden="1"/>
    </xf>
    <xf numFmtId="0" fontId="20" fillId="0" borderId="18" xfId="34" applyNumberFormat="1" applyFont="1" applyBorder="1" applyAlignment="1" applyProtection="1">
      <alignment horizontal="center" vertical="center"/>
      <protection hidden="1"/>
    </xf>
    <xf numFmtId="0" fontId="20" fillId="0" borderId="18" xfId="34" applyFont="1" applyBorder="1" applyAlignment="1" applyProtection="1">
      <alignment horizontal="center" vertical="center"/>
      <protection hidden="1"/>
    </xf>
    <xf numFmtId="0" fontId="20" fillId="0" borderId="161" xfId="34" applyFont="1" applyBorder="1" applyAlignment="1" applyProtection="1">
      <alignment horizontal="center" vertical="center"/>
      <protection hidden="1"/>
    </xf>
    <xf numFmtId="0" fontId="20" fillId="0" borderId="162" xfId="34" applyFont="1" applyBorder="1" applyAlignment="1" applyProtection="1">
      <alignment horizontal="center" vertical="center"/>
      <protection hidden="1"/>
    </xf>
    <xf numFmtId="0" fontId="20" fillId="0" borderId="163" xfId="34" applyFont="1" applyBorder="1" applyAlignment="1" applyProtection="1">
      <alignment horizontal="center" vertical="center"/>
      <protection hidden="1"/>
    </xf>
    <xf numFmtId="49" fontId="36" fillId="24" borderId="32" xfId="34" applyNumberFormat="1" applyFont="1" applyFill="1" applyBorder="1" applyAlignment="1" applyProtection="1">
      <alignment horizontal="center" vertical="center"/>
      <protection locked="0"/>
    </xf>
    <xf numFmtId="0" fontId="36" fillId="0" borderId="130" xfId="34" applyNumberFormat="1" applyFont="1" applyBorder="1" applyAlignment="1" applyProtection="1">
      <alignment horizontal="center" vertical="center"/>
      <protection hidden="1"/>
    </xf>
    <xf numFmtId="0" fontId="36" fillId="0" borderId="16" xfId="34" applyNumberFormat="1" applyFont="1" applyBorder="1" applyAlignment="1" applyProtection="1">
      <alignment horizontal="center" vertical="center"/>
      <protection hidden="1"/>
    </xf>
    <xf numFmtId="0" fontId="36" fillId="0" borderId="17" xfId="34" applyNumberFormat="1" applyFont="1" applyBorder="1" applyAlignment="1" applyProtection="1">
      <alignment horizontal="center" vertical="center"/>
      <protection hidden="1"/>
    </xf>
    <xf numFmtId="0" fontId="38" fillId="18" borderId="164" xfId="34" applyFont="1" applyFill="1" applyBorder="1" applyAlignment="1" applyProtection="1">
      <alignment horizontal="center" vertical="center"/>
      <protection hidden="1"/>
    </xf>
    <xf numFmtId="0" fontId="38" fillId="18" borderId="165" xfId="34" applyFont="1" applyFill="1" applyBorder="1" applyAlignment="1" applyProtection="1">
      <alignment horizontal="center" vertical="center"/>
      <protection hidden="1"/>
    </xf>
    <xf numFmtId="0" fontId="38" fillId="18" borderId="166" xfId="34" applyFont="1" applyFill="1" applyBorder="1" applyAlignment="1" applyProtection="1">
      <alignment horizontal="center" vertical="center"/>
      <protection hidden="1"/>
    </xf>
    <xf numFmtId="0" fontId="20" fillId="0" borderId="161" xfId="34" applyNumberFormat="1" applyFont="1" applyBorder="1" applyAlignment="1" applyProtection="1">
      <alignment horizontal="center" vertical="center"/>
      <protection hidden="1"/>
    </xf>
    <xf numFmtId="0" fontId="20" fillId="0" borderId="162" xfId="34" applyNumberFormat="1" applyFont="1" applyBorder="1" applyAlignment="1" applyProtection="1">
      <alignment horizontal="center" vertical="center"/>
      <protection hidden="1"/>
    </xf>
    <xf numFmtId="0" fontId="20" fillId="0" borderId="163" xfId="34" applyNumberFormat="1" applyFont="1" applyBorder="1" applyAlignment="1" applyProtection="1">
      <alignment horizontal="center" vertical="center"/>
      <protection hidden="1"/>
    </xf>
    <xf numFmtId="0" fontId="18" fillId="0" borderId="130" xfId="34" applyNumberFormat="1" applyFont="1" applyBorder="1" applyAlignment="1" applyProtection="1">
      <alignment horizontal="center" vertical="center" wrapText="1"/>
      <protection hidden="1"/>
    </xf>
    <xf numFmtId="0" fontId="18" fillId="0" borderId="16" xfId="34" applyNumberFormat="1" applyFont="1" applyBorder="1" applyAlignment="1" applyProtection="1">
      <alignment horizontal="center" vertical="center" wrapText="1"/>
      <protection hidden="1"/>
    </xf>
    <xf numFmtId="0" fontId="18" fillId="0" borderId="17" xfId="34" applyNumberFormat="1" applyFont="1" applyBorder="1" applyAlignment="1" applyProtection="1">
      <alignment horizontal="center" vertical="center" wrapText="1"/>
      <protection hidden="1"/>
    </xf>
    <xf numFmtId="0" fontId="35" fillId="0" borderId="130" xfId="34" applyNumberFormat="1" applyFont="1" applyBorder="1" applyAlignment="1" applyProtection="1">
      <alignment horizontal="center" vertical="center" wrapText="1"/>
      <protection hidden="1"/>
    </xf>
    <xf numFmtId="0" fontId="35" fillId="0" borderId="16" xfId="34" applyNumberFormat="1" applyFont="1" applyBorder="1" applyAlignment="1" applyProtection="1">
      <alignment horizontal="center" vertical="center" wrapText="1"/>
      <protection hidden="1"/>
    </xf>
    <xf numFmtId="0" fontId="35" fillId="0" borderId="17" xfId="34" applyNumberFormat="1" applyFont="1" applyBorder="1" applyAlignment="1" applyProtection="1">
      <alignment horizontal="center" vertical="center" wrapText="1"/>
      <protection hidden="1"/>
    </xf>
    <xf numFmtId="0" fontId="36" fillId="24" borderId="32" xfId="34" applyNumberFormat="1" applyFont="1" applyFill="1" applyBorder="1" applyAlignment="1" applyProtection="1">
      <alignment horizontal="center" vertical="center" shrinkToFit="1"/>
      <protection locked="0"/>
    </xf>
    <xf numFmtId="177" fontId="36" fillId="24" borderId="32" xfId="34" applyNumberFormat="1" applyFont="1" applyFill="1" applyBorder="1" applyAlignment="1" applyProtection="1">
      <alignment horizontal="center" vertical="center"/>
      <protection locked="0"/>
    </xf>
    <xf numFmtId="168" fontId="36" fillId="24" borderId="32" xfId="34" applyNumberFormat="1" applyFont="1" applyFill="1" applyBorder="1" applyAlignment="1" applyProtection="1">
      <alignment horizontal="center" vertical="center"/>
      <protection locked="0"/>
    </xf>
    <xf numFmtId="0" fontId="32" fillId="24" borderId="32" xfId="30" applyNumberFormat="1" applyFill="1" applyBorder="1" applyAlignment="1" applyProtection="1">
      <alignment horizontal="center" vertical="center" shrinkToFit="1"/>
      <protection locked="0"/>
    </xf>
    <xf numFmtId="0" fontId="37" fillId="18" borderId="167" xfId="34" applyFont="1" applyFill="1" applyBorder="1" applyAlignment="1" applyProtection="1">
      <alignment horizontal="center" vertical="center"/>
      <protection hidden="1"/>
    </xf>
    <xf numFmtId="0" fontId="18" fillId="0" borderId="26" xfId="34" applyFont="1" applyBorder="1" applyAlignment="1" applyProtection="1">
      <alignment horizontal="center" vertical="center"/>
      <protection hidden="1"/>
    </xf>
    <xf numFmtId="0" fontId="18" fillId="0" borderId="168" xfId="34" applyFont="1" applyBorder="1" applyAlignment="1" applyProtection="1">
      <alignment horizontal="center" vertical="center"/>
      <protection hidden="1"/>
    </xf>
    <xf numFmtId="0" fontId="43" fillId="0" borderId="169" xfId="34" applyFont="1" applyBorder="1" applyAlignment="1" applyProtection="1">
      <alignment horizontal="justify" vertical="center" wrapText="1"/>
      <protection hidden="1"/>
    </xf>
    <xf numFmtId="0" fontId="71" fillId="0" borderId="32" xfId="34" applyFont="1" applyBorder="1" applyAlignment="1" applyProtection="1">
      <alignment horizontal="justify" vertical="center" wrapText="1"/>
      <protection hidden="1"/>
    </xf>
    <xf numFmtId="0" fontId="71" fillId="0" borderId="170" xfId="34" applyFont="1" applyBorder="1" applyAlignment="1" applyProtection="1">
      <alignment horizontal="justify" vertical="center" wrapText="1"/>
      <protection hidden="1"/>
    </xf>
    <xf numFmtId="0" fontId="71" fillId="0" borderId="169" xfId="34" applyFont="1" applyBorder="1" applyAlignment="1" applyProtection="1">
      <alignment horizontal="justify" vertical="center" wrapText="1"/>
      <protection hidden="1"/>
    </xf>
    <xf numFmtId="0" fontId="71" fillId="0" borderId="171" xfId="34" applyFont="1" applyBorder="1" applyAlignment="1" applyProtection="1">
      <alignment horizontal="justify" vertical="center" wrapText="1"/>
      <protection hidden="1"/>
    </xf>
    <xf numFmtId="0" fontId="71" fillId="0" borderId="172" xfId="34" applyFont="1" applyBorder="1" applyAlignment="1" applyProtection="1">
      <alignment horizontal="justify" vertical="center" wrapText="1"/>
      <protection hidden="1"/>
    </xf>
    <xf numFmtId="0" fontId="71" fillId="0" borderId="173" xfId="34" applyFont="1" applyBorder="1" applyAlignment="1" applyProtection="1">
      <alignment horizontal="justify" vertical="center" wrapText="1"/>
      <protection hidden="1"/>
    </xf>
    <xf numFmtId="0" fontId="36" fillId="8" borderId="19" xfId="34" applyFont="1" applyFill="1" applyBorder="1" applyAlignment="1" applyProtection="1">
      <alignment horizontal="center" vertical="center"/>
      <protection hidden="1"/>
    </xf>
    <xf numFmtId="0" fontId="18" fillId="0" borderId="174" xfId="34" applyFont="1" applyBorder="1" applyAlignment="1" applyProtection="1">
      <alignment horizontal="center" vertical="center"/>
      <protection hidden="1"/>
    </xf>
    <xf numFmtId="0" fontId="38" fillId="18" borderId="19" xfId="34" applyFont="1" applyFill="1" applyBorder="1" applyAlignment="1" applyProtection="1">
      <alignment horizontal="center" vertical="center"/>
      <protection hidden="1"/>
    </xf>
    <xf numFmtId="0" fontId="73" fillId="0" borderId="142" xfId="34" applyFont="1" applyBorder="1" applyAlignment="1" applyProtection="1">
      <alignment horizontal="center" vertical="center"/>
      <protection hidden="1"/>
    </xf>
    <xf numFmtId="0" fontId="73" fillId="0" borderId="14" xfId="34" applyFont="1" applyBorder="1" applyAlignment="1" applyProtection="1">
      <alignment horizontal="center" vertical="center"/>
      <protection hidden="1"/>
    </xf>
    <xf numFmtId="0" fontId="20" fillId="35" borderId="142" xfId="34" applyFont="1" applyFill="1" applyBorder="1" applyAlignment="1" applyProtection="1">
      <alignment horizontal="center" vertical="center"/>
      <protection locked="0" hidden="1"/>
    </xf>
    <xf numFmtId="0" fontId="20" fillId="35" borderId="14" xfId="34" applyFont="1" applyFill="1" applyBorder="1" applyAlignment="1" applyProtection="1">
      <alignment horizontal="center" vertical="center"/>
      <protection locked="0" hidden="1"/>
    </xf>
    <xf numFmtId="0" fontId="43" fillId="0" borderId="142" xfId="34" applyFont="1" applyBorder="1" applyAlignment="1" applyProtection="1">
      <alignment horizontal="justify" vertical="center" wrapText="1"/>
      <protection hidden="1"/>
    </xf>
    <xf numFmtId="0" fontId="0" fillId="0" borderId="0" xfId="0" applyBorder="1"/>
    <xf numFmtId="0" fontId="0" fillId="0" borderId="175" xfId="0" applyBorder="1"/>
    <xf numFmtId="0" fontId="0" fillId="0" borderId="142" xfId="0" applyBorder="1"/>
    <xf numFmtId="0" fontId="0" fillId="0" borderId="176" xfId="0" applyBorder="1"/>
    <xf numFmtId="0" fontId="0" fillId="0" borderId="177" xfId="0" applyBorder="1"/>
    <xf numFmtId="0" fontId="0" fillId="0" borderId="178" xfId="0" applyBorder="1"/>
    <xf numFmtId="0" fontId="33" fillId="0" borderId="0" xfId="34" applyFont="1" applyBorder="1" applyAlignment="1" applyProtection="1">
      <alignment vertical="center" wrapText="1"/>
      <protection hidden="1"/>
    </xf>
    <xf numFmtId="0" fontId="0" fillId="0" borderId="0" xfId="0" applyBorder="1" applyAlignment="1">
      <alignment vertical="center" wrapText="1"/>
    </xf>
    <xf numFmtId="0" fontId="48" fillId="27" borderId="0" xfId="0" applyFont="1" applyFill="1" applyBorder="1" applyAlignment="1" applyProtection="1">
      <alignment horizontal="center" vertical="center" textRotation="90" wrapText="1"/>
    </xf>
    <xf numFmtId="0" fontId="20" fillId="0" borderId="179" xfId="34" applyFont="1" applyBorder="1" applyAlignment="1" applyProtection="1">
      <alignment horizontal="center" vertical="center"/>
      <protection hidden="1"/>
    </xf>
    <xf numFmtId="0" fontId="20" fillId="0" borderId="180" xfId="34" applyFont="1" applyBorder="1" applyAlignment="1" applyProtection="1">
      <alignment horizontal="center" vertical="center"/>
      <protection hidden="1"/>
    </xf>
    <xf numFmtId="164" fontId="41" fillId="25" borderId="52" xfId="0" applyNumberFormat="1" applyFont="1" applyFill="1" applyBorder="1" applyAlignment="1" applyProtection="1">
      <alignment horizontal="center" vertical="center"/>
    </xf>
    <xf numFmtId="0" fontId="36" fillId="0" borderId="181" xfId="34" applyNumberFormat="1" applyFont="1" applyBorder="1" applyAlignment="1" applyProtection="1">
      <alignment horizontal="center" vertical="center"/>
      <protection hidden="1"/>
    </xf>
    <xf numFmtId="0" fontId="36" fillId="0" borderId="182" xfId="34" applyNumberFormat="1" applyFont="1" applyBorder="1" applyAlignment="1" applyProtection="1">
      <alignment horizontal="center" vertical="center"/>
      <protection hidden="1"/>
    </xf>
    <xf numFmtId="0" fontId="36" fillId="0" borderId="183" xfId="34" applyNumberFormat="1" applyFont="1" applyBorder="1" applyAlignment="1" applyProtection="1">
      <alignment horizontal="center" vertical="center"/>
      <protection hidden="1"/>
    </xf>
    <xf numFmtId="0" fontId="36" fillId="0" borderId="184" xfId="34" applyNumberFormat="1" applyFont="1" applyBorder="1" applyAlignment="1" applyProtection="1">
      <alignment horizontal="center" vertical="center"/>
      <protection hidden="1"/>
    </xf>
    <xf numFmtId="0" fontId="41" fillId="25" borderId="49" xfId="0" applyFont="1" applyFill="1" applyBorder="1" applyAlignment="1" applyProtection="1">
      <alignment horizontal="center" vertical="center"/>
    </xf>
    <xf numFmtId="164" fontId="41" fillId="26" borderId="52" xfId="0" applyNumberFormat="1" applyFont="1" applyFill="1" applyBorder="1" applyAlignment="1" applyProtection="1">
      <alignment horizontal="center" vertical="center"/>
    </xf>
    <xf numFmtId="0" fontId="48" fillId="27" borderId="185" xfId="0" applyFont="1" applyFill="1" applyBorder="1" applyAlignment="1" applyProtection="1">
      <alignment horizontal="center" vertical="center" textRotation="90" wrapText="1"/>
    </xf>
    <xf numFmtId="0" fontId="52" fillId="0" borderId="0" xfId="0" applyFont="1" applyFill="1" applyBorder="1" applyAlignment="1" applyProtection="1">
      <alignment horizontal="left" vertical="top" wrapText="1"/>
    </xf>
    <xf numFmtId="164" fontId="41" fillId="26" borderId="186" xfId="0" applyNumberFormat="1" applyFont="1" applyFill="1" applyBorder="1" applyAlignment="1" applyProtection="1">
      <alignment horizontal="center" vertical="center"/>
    </xf>
    <xf numFmtId="0" fontId="20" fillId="0" borderId="187" xfId="34" applyFont="1" applyBorder="1" applyAlignment="1" applyProtection="1">
      <alignment horizontal="center" vertical="center"/>
      <protection hidden="1"/>
    </xf>
    <xf numFmtId="0" fontId="20" fillId="0" borderId="188" xfId="34" applyFont="1" applyBorder="1" applyAlignment="1" applyProtection="1">
      <alignment horizontal="center" vertical="center"/>
      <protection hidden="1"/>
    </xf>
    <xf numFmtId="164" fontId="41" fillId="25" borderId="186" xfId="0" applyNumberFormat="1" applyFont="1" applyFill="1" applyBorder="1" applyAlignment="1" applyProtection="1">
      <alignment horizontal="center" vertical="center"/>
    </xf>
    <xf numFmtId="0" fontId="20" fillId="0" borderId="189" xfId="34" applyFont="1" applyBorder="1" applyAlignment="1" applyProtection="1">
      <alignment horizontal="center" vertical="center"/>
      <protection hidden="1"/>
    </xf>
    <xf numFmtId="0" fontId="20" fillId="0" borderId="190" xfId="34" applyFont="1" applyBorder="1" applyAlignment="1" applyProtection="1">
      <alignment horizontal="center" vertical="center"/>
      <protection hidden="1"/>
    </xf>
    <xf numFmtId="0" fontId="35" fillId="0" borderId="181" xfId="34" applyFont="1" applyFill="1" applyBorder="1" applyAlignment="1" applyProtection="1">
      <alignment horizontal="center" vertical="center"/>
      <protection hidden="1"/>
    </xf>
    <xf numFmtId="0" fontId="35" fillId="0" borderId="182" xfId="34" applyFont="1" applyFill="1" applyBorder="1" applyAlignment="1" applyProtection="1">
      <alignment horizontal="center" vertical="center"/>
      <protection hidden="1"/>
    </xf>
    <xf numFmtId="0" fontId="35" fillId="0" borderId="183" xfId="34" applyFont="1" applyFill="1" applyBorder="1" applyAlignment="1" applyProtection="1">
      <alignment horizontal="center" vertical="center"/>
      <protection hidden="1"/>
    </xf>
    <xf numFmtId="0" fontId="35" fillId="0" borderId="191" xfId="34" applyFont="1" applyFill="1" applyBorder="1" applyAlignment="1" applyProtection="1">
      <alignment horizontal="center" vertical="center"/>
      <protection hidden="1"/>
    </xf>
    <xf numFmtId="0" fontId="47" fillId="36" borderId="192" xfId="0" applyFont="1" applyFill="1" applyBorder="1" applyAlignment="1" applyProtection="1">
      <alignment horizontal="center" vertical="center"/>
    </xf>
    <xf numFmtId="0" fontId="47" fillId="36" borderId="104" xfId="0" applyFont="1" applyFill="1" applyBorder="1" applyAlignment="1" applyProtection="1">
      <alignment horizontal="center" vertical="center"/>
    </xf>
    <xf numFmtId="0" fontId="47" fillId="36" borderId="193" xfId="0" applyFont="1" applyFill="1" applyBorder="1" applyAlignment="1" applyProtection="1">
      <alignment horizontal="center" vertical="center"/>
    </xf>
    <xf numFmtId="0" fontId="47" fillId="36" borderId="194" xfId="0" applyFont="1" applyFill="1" applyBorder="1" applyAlignment="1" applyProtection="1">
      <alignment horizontal="center" vertical="center"/>
    </xf>
    <xf numFmtId="0" fontId="47" fillId="36" borderId="43" xfId="0" applyFont="1" applyFill="1" applyBorder="1" applyAlignment="1" applyProtection="1">
      <alignment horizontal="center" vertical="center"/>
    </xf>
    <xf numFmtId="0" fontId="47" fillId="36" borderId="195" xfId="0" applyFont="1" applyFill="1" applyBorder="1" applyAlignment="1" applyProtection="1">
      <alignment horizontal="center" vertical="center"/>
    </xf>
    <xf numFmtId="177" fontId="49" fillId="30" borderId="133" xfId="0" applyNumberFormat="1" applyFont="1" applyFill="1" applyBorder="1" applyAlignment="1" applyProtection="1">
      <alignment horizontal="center"/>
    </xf>
    <xf numFmtId="0" fontId="47" fillId="8" borderId="197" xfId="0" applyFont="1" applyFill="1" applyBorder="1" applyAlignment="1" applyProtection="1">
      <alignment horizontal="center" vertical="center" wrapText="1"/>
    </xf>
    <xf numFmtId="0" fontId="59" fillId="25" borderId="198" xfId="0" applyFont="1" applyFill="1" applyBorder="1" applyAlignment="1" applyProtection="1">
      <alignment horizontal="left" vertical="center" wrapText="1"/>
    </xf>
    <xf numFmtId="0" fontId="59" fillId="25" borderId="88" xfId="0" applyFont="1" applyFill="1" applyBorder="1" applyAlignment="1" applyProtection="1">
      <alignment horizontal="left" vertical="center" wrapText="1"/>
    </xf>
    <xf numFmtId="0" fontId="49" fillId="37" borderId="196" xfId="0" applyNumberFormat="1" applyFont="1" applyFill="1" applyBorder="1" applyAlignment="1" applyProtection="1">
      <alignment horizontal="center" vertical="center"/>
    </xf>
    <xf numFmtId="0" fontId="49" fillId="30" borderId="133" xfId="0" applyNumberFormat="1" applyFont="1" applyFill="1" applyBorder="1" applyAlignment="1" applyProtection="1">
      <alignment horizontal="center"/>
    </xf>
    <xf numFmtId="0" fontId="47" fillId="8" borderId="200" xfId="0" applyFont="1" applyFill="1" applyBorder="1" applyAlignment="1" applyProtection="1">
      <alignment horizontal="center" vertical="center" wrapText="1"/>
    </xf>
    <xf numFmtId="0" fontId="41" fillId="37" borderId="199" xfId="0" applyNumberFormat="1" applyFont="1" applyFill="1" applyBorder="1" applyAlignment="1" applyProtection="1">
      <alignment horizontal="center" vertical="center" wrapText="1"/>
    </xf>
    <xf numFmtId="0" fontId="47" fillId="25" borderId="104" xfId="0" applyFont="1" applyFill="1" applyBorder="1" applyAlignment="1" applyProtection="1">
      <alignment horizontal="center" vertical="center"/>
    </xf>
    <xf numFmtId="49" fontId="51" fillId="30" borderId="124" xfId="0" applyNumberFormat="1" applyFont="1" applyFill="1" applyBorder="1" applyAlignment="1" applyProtection="1">
      <alignment horizontal="center" vertical="center"/>
    </xf>
    <xf numFmtId="49" fontId="51" fillId="30" borderId="116" xfId="0" applyNumberFormat="1" applyFont="1" applyFill="1" applyBorder="1" applyAlignment="1" applyProtection="1">
      <alignment horizontal="center" vertical="center"/>
    </xf>
    <xf numFmtId="0" fontId="51" fillId="37" borderId="124" xfId="0" applyFont="1" applyFill="1" applyBorder="1" applyAlignment="1" applyProtection="1">
      <alignment horizontal="center" vertical="center"/>
    </xf>
    <xf numFmtId="0" fontId="51" fillId="37" borderId="116" xfId="0" applyFont="1" applyFill="1" applyBorder="1" applyAlignment="1" applyProtection="1">
      <alignment horizontal="center" vertical="center"/>
    </xf>
    <xf numFmtId="0" fontId="49" fillId="37" borderId="196" xfId="0" applyNumberFormat="1" applyFont="1" applyFill="1" applyBorder="1" applyAlignment="1" applyProtection="1">
      <alignment horizontal="center" vertical="center" wrapText="1"/>
    </xf>
    <xf numFmtId="0" fontId="49" fillId="37" borderId="196" xfId="0" applyFont="1" applyFill="1" applyBorder="1" applyAlignment="1" applyProtection="1">
      <alignment horizontal="center" vertical="center"/>
    </xf>
    <xf numFmtId="0" fontId="65" fillId="25" borderId="0" xfId="0" applyFont="1" applyFill="1" applyBorder="1" applyAlignment="1" applyProtection="1">
      <alignment vertical="top" wrapText="1"/>
    </xf>
    <xf numFmtId="0" fontId="52" fillId="25" borderId="0" xfId="0" applyFont="1" applyFill="1" applyBorder="1" applyAlignment="1" applyProtection="1">
      <alignment vertical="top" wrapText="1"/>
    </xf>
    <xf numFmtId="169" fontId="41" fillId="25" borderId="49" xfId="0" applyNumberFormat="1" applyFont="1" applyFill="1" applyBorder="1" applyAlignment="1" applyProtection="1">
      <alignment horizontal="left" vertical="center" wrapText="1"/>
    </xf>
    <xf numFmtId="0" fontId="47" fillId="25" borderId="0" xfId="0" applyFont="1" applyFill="1" applyBorder="1" applyAlignment="1" applyProtection="1">
      <alignment horizontal="left" vertical="center"/>
    </xf>
    <xf numFmtId="164" fontId="41" fillId="37" borderId="199" xfId="32" applyFont="1" applyFill="1" applyBorder="1" applyAlignment="1" applyProtection="1">
      <alignment horizontal="center" vertical="center" wrapText="1"/>
    </xf>
    <xf numFmtId="14" fontId="49" fillId="37" borderId="196" xfId="0" applyNumberFormat="1" applyFont="1" applyFill="1" applyBorder="1" applyAlignment="1" applyProtection="1">
      <alignment horizontal="center" vertical="center"/>
    </xf>
    <xf numFmtId="0" fontId="39" fillId="22" borderId="137" xfId="0" applyFont="1" applyFill="1" applyBorder="1" applyAlignment="1" applyProtection="1">
      <alignment horizontal="center" vertical="center"/>
      <protection locked="0"/>
    </xf>
    <xf numFmtId="0" fontId="39" fillId="22" borderId="64" xfId="0" applyFont="1" applyFill="1" applyBorder="1" applyAlignment="1" applyProtection="1">
      <alignment horizontal="center" vertical="center"/>
      <protection locked="0"/>
    </xf>
    <xf numFmtId="0" fontId="63" fillId="22" borderId="137" xfId="0" applyFont="1" applyFill="1" applyBorder="1" applyAlignment="1" applyProtection="1">
      <alignment horizontal="left" vertical="center"/>
      <protection locked="0"/>
    </xf>
    <xf numFmtId="0" fontId="63" fillId="22" borderId="201" xfId="0" applyFont="1" applyFill="1" applyBorder="1" applyAlignment="1" applyProtection="1">
      <alignment horizontal="left" vertical="center"/>
      <protection locked="0"/>
    </xf>
    <xf numFmtId="0" fontId="39" fillId="22" borderId="49" xfId="0" applyFont="1" applyFill="1" applyBorder="1" applyAlignment="1" applyProtection="1">
      <alignment horizontal="center" vertical="center"/>
      <protection locked="0"/>
    </xf>
    <xf numFmtId="0" fontId="49" fillId="37" borderId="199" xfId="0" applyFont="1" applyFill="1" applyBorder="1" applyAlignment="1" applyProtection="1">
      <alignment horizontal="center" vertical="center" wrapText="1"/>
    </xf>
    <xf numFmtId="0" fontId="49" fillId="37" borderId="202" xfId="0" applyFont="1" applyFill="1" applyBorder="1" applyAlignment="1" applyProtection="1">
      <alignment horizontal="center" vertical="center" wrapText="1"/>
    </xf>
    <xf numFmtId="0" fontId="49" fillId="37" borderId="203" xfId="0" applyFont="1" applyFill="1" applyBorder="1" applyAlignment="1" applyProtection="1">
      <alignment horizontal="center" vertical="center" wrapText="1"/>
    </xf>
    <xf numFmtId="0" fontId="41" fillId="37" borderId="202" xfId="0" applyNumberFormat="1" applyFont="1" applyFill="1" applyBorder="1" applyAlignment="1" applyProtection="1">
      <alignment horizontal="center" vertical="center" wrapText="1"/>
    </xf>
    <xf numFmtId="0" fontId="41" fillId="37" borderId="203" xfId="0" applyNumberFormat="1" applyFont="1" applyFill="1" applyBorder="1" applyAlignment="1" applyProtection="1">
      <alignment horizontal="center" vertical="center" wrapText="1"/>
    </xf>
    <xf numFmtId="164" fontId="48" fillId="8" borderId="98" xfId="32" applyFont="1" applyFill="1" applyBorder="1" applyAlignment="1" applyProtection="1">
      <alignment horizontal="center" vertical="center"/>
    </xf>
    <xf numFmtId="164" fontId="48" fillId="8" borderId="204" xfId="32" applyFont="1" applyFill="1" applyBorder="1" applyAlignment="1" applyProtection="1">
      <alignment horizontal="center" vertical="center"/>
    </xf>
    <xf numFmtId="0" fontId="20" fillId="0" borderId="205" xfId="34" applyFont="1" applyBorder="1" applyAlignment="1" applyProtection="1">
      <alignment horizontal="center" vertical="center"/>
      <protection hidden="1"/>
    </xf>
    <xf numFmtId="0" fontId="20" fillId="0" borderId="127" xfId="34" applyFont="1" applyBorder="1" applyAlignment="1" applyProtection="1">
      <alignment horizontal="center" vertical="center"/>
      <protection hidden="1"/>
    </xf>
    <xf numFmtId="0" fontId="20" fillId="0" borderId="206" xfId="34" applyFont="1" applyBorder="1" applyAlignment="1" applyProtection="1">
      <alignment horizontal="center" vertical="center"/>
      <protection hidden="1"/>
    </xf>
    <xf numFmtId="0" fontId="35" fillId="0" borderId="207" xfId="34" applyFont="1" applyFill="1" applyBorder="1" applyAlignment="1" applyProtection="1">
      <alignment horizontal="center" vertical="center"/>
      <protection hidden="1"/>
    </xf>
    <xf numFmtId="0" fontId="35" fillId="0" borderId="129" xfId="34" applyFont="1" applyFill="1" applyBorder="1" applyAlignment="1" applyProtection="1">
      <alignment horizontal="center" vertical="center"/>
      <protection hidden="1"/>
    </xf>
    <xf numFmtId="178" fontId="0" fillId="0" borderId="183" xfId="0" applyNumberFormat="1" applyBorder="1" applyAlignment="1">
      <alignment horizontal="center"/>
    </xf>
    <xf numFmtId="178" fontId="0" fillId="0" borderId="184" xfId="0" applyNumberFormat="1" applyBorder="1" applyAlignment="1">
      <alignment horizontal="center"/>
    </xf>
    <xf numFmtId="169" fontId="48" fillId="26" borderId="49" xfId="0" applyNumberFormat="1" applyFont="1" applyFill="1" applyBorder="1" applyAlignment="1" applyProtection="1">
      <alignment horizontal="center" vertical="center" wrapText="1"/>
    </xf>
    <xf numFmtId="169" fontId="48" fillId="26" borderId="85" xfId="0" applyNumberFormat="1" applyFont="1" applyFill="1" applyBorder="1" applyAlignment="1" applyProtection="1">
      <alignment horizontal="center" vertical="center" wrapText="1"/>
    </xf>
    <xf numFmtId="0" fontId="36" fillId="0" borderId="207" xfId="34" applyNumberFormat="1" applyFont="1" applyBorder="1" applyAlignment="1" applyProtection="1">
      <alignment horizontal="center" vertical="center"/>
      <protection hidden="1"/>
    </xf>
    <xf numFmtId="0" fontId="36" fillId="0" borderId="129" xfId="34" applyNumberFormat="1" applyFont="1" applyBorder="1" applyAlignment="1" applyProtection="1">
      <alignment horizontal="center" vertical="center"/>
      <protection hidden="1"/>
    </xf>
    <xf numFmtId="164" fontId="48" fillId="26" borderId="49" xfId="32" applyFont="1" applyFill="1" applyBorder="1" applyAlignment="1" applyProtection="1">
      <alignment horizontal="center" vertical="center"/>
    </xf>
    <xf numFmtId="164" fontId="48" fillId="26" borderId="85" xfId="32" applyFont="1" applyFill="1" applyBorder="1" applyAlignment="1" applyProtection="1">
      <alignment horizontal="center" vertical="center"/>
    </xf>
    <xf numFmtId="0" fontId="0" fillId="0" borderId="129" xfId="0" applyBorder="1" applyAlignment="1">
      <alignment horizontal="center"/>
    </xf>
  </cellXfs>
  <cellStyles count="5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iperlink" xfId="30" builtinId="8"/>
    <cellStyle name="Hyperlink_pe047servicedesk" xfId="31"/>
    <cellStyle name="Moeda" xfId="32" builtinId="4"/>
    <cellStyle name="Moeda 2" xfId="33"/>
    <cellStyle name="Normal" xfId="0" builtinId="0"/>
    <cellStyle name="Normal_pe047servicedesk" xfId="34"/>
    <cellStyle name="Nota" xfId="35" builtinId="10" customBuiltin="1"/>
    <cellStyle name="Porcentagem" xfId="36" builtinId="5"/>
    <cellStyle name="Porcentagem 2" xfId="37"/>
    <cellStyle name="Porcentagem_pe047servicedesk" xfId="38"/>
    <cellStyle name="Saída" xfId="39" builtinId="21" customBuiltin="1"/>
    <cellStyle name="Separador de milhares 2" xfId="40"/>
    <cellStyle name="Texto de Aviso" xfId="41" builtinId="11" customBuiltin="1"/>
    <cellStyle name="Texto Explicativo" xfId="42" builtinId="53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ítulo 5" xfId="47"/>
    <cellStyle name="Título 6" xfId="48"/>
    <cellStyle name="Total" xfId="49" builtinId="25" customBuiltin="1"/>
  </cellStyles>
  <dxfs count="8">
    <dxf>
      <font>
        <b val="0"/>
        <i/>
        <condense val="0"/>
        <extend val="0"/>
        <color indexed="22"/>
      </font>
    </dxf>
    <dxf>
      <font>
        <b val="0"/>
        <i/>
        <condense val="0"/>
        <extend val="0"/>
        <color indexed="22"/>
      </font>
    </dxf>
    <dxf>
      <font>
        <b val="0"/>
        <i/>
        <condense val="0"/>
        <extend val="0"/>
        <color indexed="22"/>
      </font>
    </dxf>
    <dxf>
      <font>
        <b val="0"/>
        <i/>
        <condense val="0"/>
        <extend val="0"/>
        <color indexed="22"/>
      </font>
    </dxf>
    <dxf>
      <font>
        <b val="0"/>
        <i/>
        <condense val="0"/>
        <extend val="0"/>
        <color indexed="22"/>
      </font>
    </dxf>
    <dxf>
      <font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59996337778862885"/>
        </patternFill>
      </fill>
    </dxf>
    <dxf>
      <font>
        <b val="0"/>
        <i/>
        <condense val="0"/>
        <extend val="0"/>
        <color indexed="22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E6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FF420E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Apoio!$E$7"/>
</file>

<file path=xl/ctrlProps/ctrlProp2.xml><?xml version="1.0" encoding="utf-8"?>
<formControlPr xmlns="http://schemas.microsoft.com/office/spreadsheetml/2009/9/main" objectType="Radio"/>
</file>

<file path=xl/ctrlProps/ctrlProp3.xml><?xml version="1.0" encoding="utf-8"?>
<formControlPr xmlns="http://schemas.microsoft.com/office/spreadsheetml/2009/9/main" objectType="Radio"/>
</file>

<file path=xl/ctrlProps/ctrlProp4.xml><?xml version="1.0" encoding="utf-8"?>
<formControlPr xmlns="http://schemas.microsoft.com/office/spreadsheetml/2009/9/main" objectType="Radio"/>
</file>

<file path=xl/ctrlProps/ctrlProp5.xml><?xml version="1.0" encoding="utf-8"?>
<formControlPr xmlns="http://schemas.microsoft.com/office/spreadsheetml/2009/9/main" objectType="Radio" checked="Checked" firstButton="1" fmlaLink="Apoio!$E$12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238125</xdr:colOff>
          <xdr:row>22</xdr:row>
          <xdr:rowOff>0</xdr:rowOff>
        </xdr:from>
        <xdr:to>
          <xdr:col>1</xdr:col>
          <xdr:colOff>285750</xdr:colOff>
          <xdr:row>23</xdr:row>
          <xdr:rowOff>47625</xdr:rowOff>
        </xdr:to>
        <xdr:sp macro="" textlink="">
          <xdr:nvSpPr>
            <xdr:cNvPr id="4097" name="Botão de opção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238125</xdr:colOff>
          <xdr:row>24</xdr:row>
          <xdr:rowOff>9525</xdr:rowOff>
        </xdr:from>
        <xdr:to>
          <xdr:col>1</xdr:col>
          <xdr:colOff>285750</xdr:colOff>
          <xdr:row>25</xdr:row>
          <xdr:rowOff>19050</xdr:rowOff>
        </xdr:to>
        <xdr:sp macro="" textlink="">
          <xdr:nvSpPr>
            <xdr:cNvPr id="4098" name="Botão de opção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238125</xdr:colOff>
          <xdr:row>25</xdr:row>
          <xdr:rowOff>152400</xdr:rowOff>
        </xdr:from>
        <xdr:to>
          <xdr:col>1</xdr:col>
          <xdr:colOff>285750</xdr:colOff>
          <xdr:row>27</xdr:row>
          <xdr:rowOff>9525</xdr:rowOff>
        </xdr:to>
        <xdr:sp macro="" textlink="">
          <xdr:nvSpPr>
            <xdr:cNvPr id="4099" name="Botão de opção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238125</xdr:colOff>
          <xdr:row>27</xdr:row>
          <xdr:rowOff>133350</xdr:rowOff>
        </xdr:from>
        <xdr:to>
          <xdr:col>1</xdr:col>
          <xdr:colOff>285750</xdr:colOff>
          <xdr:row>28</xdr:row>
          <xdr:rowOff>190500</xdr:rowOff>
        </xdr:to>
        <xdr:sp macro="" textlink="">
          <xdr:nvSpPr>
            <xdr:cNvPr id="4102" name="Botão de opção 3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40</xdr:row>
          <xdr:rowOff>133350</xdr:rowOff>
        </xdr:from>
        <xdr:to>
          <xdr:col>2</xdr:col>
          <xdr:colOff>19050</xdr:colOff>
          <xdr:row>42</xdr:row>
          <xdr:rowOff>9525</xdr:rowOff>
        </xdr:to>
        <xdr:sp macro="" textlink="">
          <xdr:nvSpPr>
            <xdr:cNvPr id="4105" name="Botão de opção 1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42</xdr:row>
          <xdr:rowOff>142875</xdr:rowOff>
        </xdr:from>
        <xdr:to>
          <xdr:col>2</xdr:col>
          <xdr:colOff>19050</xdr:colOff>
          <xdr:row>43</xdr:row>
          <xdr:rowOff>152400</xdr:rowOff>
        </xdr:to>
        <xdr:sp macro="" textlink="">
          <xdr:nvSpPr>
            <xdr:cNvPr id="4106" name="Botão de opção 2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40</xdr:row>
          <xdr:rowOff>9525</xdr:rowOff>
        </xdr:from>
        <xdr:to>
          <xdr:col>2</xdr:col>
          <xdr:colOff>1552575</xdr:colOff>
          <xdr:row>44</xdr:row>
          <xdr:rowOff>142875</xdr:rowOff>
        </xdr:to>
        <xdr:sp macro="" textlink="">
          <xdr:nvSpPr>
            <xdr:cNvPr id="4107" name="Group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21</xdr:row>
          <xdr:rowOff>123825</xdr:rowOff>
        </xdr:from>
        <xdr:to>
          <xdr:col>2</xdr:col>
          <xdr:colOff>1552575</xdr:colOff>
          <xdr:row>30</xdr:row>
          <xdr:rowOff>57150</xdr:rowOff>
        </xdr:to>
        <xdr:sp macro="" textlink="">
          <xdr:nvSpPr>
            <xdr:cNvPr id="4108" name="Group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ULO/Modelos/TST/pe047servicedes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oio"/>
      <sheetName val="AVISO"/>
      <sheetName val="Dados Contratação"/>
      <sheetName val="Dados Proponente"/>
      <sheetName val="Insumos"/>
      <sheetName val="GestorService"/>
      <sheetName val="TSupRemoto"/>
      <sheetName val="SupervSupRemoto"/>
      <sheetName val="TSupIlhaEspecializHardSoft"/>
      <sheetName val="TSupIlhaEspecializTelefonia"/>
      <sheetName val="TSupEspecializado"/>
      <sheetName val="TSupGabinetes30"/>
      <sheetName val="TSupGabinetes36"/>
      <sheetName val="SupervPresencial"/>
      <sheetName val="Valor Global"/>
    </sheetNames>
    <sheetDataSet>
      <sheetData sheetId="0">
        <row r="1">
          <cell r="A1" t="str">
            <v>Tipo de Joranda de Trabalho</v>
          </cell>
        </row>
        <row r="2">
          <cell r="A2" t="str">
            <v>Escala 12x36 horas</v>
          </cell>
        </row>
        <row r="3">
          <cell r="A3" t="str">
            <v>44 horas semanais</v>
          </cell>
        </row>
        <row r="4">
          <cell r="A4" t="str">
            <v>40 horas semanais</v>
          </cell>
        </row>
        <row r="5">
          <cell r="A5" t="str">
            <v>36 horas semanais</v>
          </cell>
        </row>
        <row r="6">
          <cell r="A6" t="str">
            <v>30 horas semanais</v>
          </cell>
        </row>
        <row r="7">
          <cell r="A7" t="str">
            <v>15 horas semanais (TQQ)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omprasnet.gov.br/publicacoes/manuais/Manual_preenchimento_planilha_de_custo_-_18-06-2011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image" Target="../media/image2.png"/><Relationship Id="rId9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OutlineSymbols="0" view="pageBreakPreview" zoomScaleSheetLayoutView="100" workbookViewId="0"/>
  </sheetViews>
  <sheetFormatPr defaultRowHeight="12.75" x14ac:dyDescent="0.2"/>
  <cols>
    <col min="1" max="1" width="30.7109375" style="1" customWidth="1"/>
    <col min="2" max="3" width="11.140625" style="1" customWidth="1"/>
    <col min="4" max="4" width="9.140625" style="1"/>
    <col min="5" max="5" width="10.42578125" style="1" customWidth="1"/>
    <col min="6" max="6" width="10.28515625" style="1" customWidth="1"/>
    <col min="7" max="7" width="9.7109375" style="1" customWidth="1"/>
    <col min="8" max="9" width="9.28515625" style="1" customWidth="1"/>
    <col min="10" max="10" width="9.140625" style="1"/>
    <col min="11" max="11" width="30.42578125" style="1" customWidth="1"/>
    <col min="12" max="12" width="10.7109375" style="1" customWidth="1"/>
    <col min="13" max="16384" width="9.140625" style="1"/>
  </cols>
  <sheetData>
    <row r="1" spans="1:15" ht="33.75" x14ac:dyDescent="0.2">
      <c r="A1" s="2" t="s">
        <v>0</v>
      </c>
      <c r="B1" s="3" t="s">
        <v>1</v>
      </c>
      <c r="C1" s="3" t="s">
        <v>2</v>
      </c>
      <c r="D1" s="319"/>
      <c r="E1" s="3" t="s">
        <v>3</v>
      </c>
      <c r="F1" s="3" t="s">
        <v>4</v>
      </c>
      <c r="G1" s="3" t="s">
        <v>5</v>
      </c>
      <c r="H1" s="3" t="s">
        <v>6</v>
      </c>
      <c r="I1" s="3" t="s">
        <v>342</v>
      </c>
      <c r="J1" s="319"/>
      <c r="K1" s="2" t="s">
        <v>309</v>
      </c>
      <c r="L1" s="3" t="s">
        <v>2</v>
      </c>
    </row>
    <row r="2" spans="1:15" x14ac:dyDescent="0.2">
      <c r="A2" s="1" t="s">
        <v>7</v>
      </c>
      <c r="B2" s="4">
        <v>180</v>
      </c>
      <c r="C2" s="5">
        <v>15</v>
      </c>
      <c r="D2" s="319"/>
      <c r="E2" s="1" t="s">
        <v>8</v>
      </c>
      <c r="F2" s="6">
        <v>1.6500000000000001E-2</v>
      </c>
      <c r="G2" s="6">
        <v>6.4999999999999997E-3</v>
      </c>
      <c r="H2" s="6">
        <v>0</v>
      </c>
      <c r="I2" s="6">
        <f>IF('Dados Proponente'!$B$31="Receita Bruta em 12 meses (em R$)",0,VLOOKUP('Dados Proponente'!$B$31,$A:$D,3,FALSE))</f>
        <v>0</v>
      </c>
      <c r="J2" s="319"/>
      <c r="K2" s="1" t="s">
        <v>310</v>
      </c>
      <c r="L2" s="5">
        <v>13.2188</v>
      </c>
    </row>
    <row r="3" spans="1:15" x14ac:dyDescent="0.2">
      <c r="A3" s="1" t="s">
        <v>9</v>
      </c>
      <c r="B3" s="4">
        <v>220</v>
      </c>
      <c r="C3" s="5">
        <v>21</v>
      </c>
      <c r="D3" s="319"/>
      <c r="E3" s="1" t="s">
        <v>10</v>
      </c>
      <c r="F3" s="6">
        <v>7.5999999999999998E-2</v>
      </c>
      <c r="G3" s="6">
        <v>0.03</v>
      </c>
      <c r="H3" s="6">
        <v>0.01</v>
      </c>
      <c r="I3" s="6">
        <f>IF('Dados Proponente'!$B$31="Receita Bruta em 12 meses (em R$)",0,VLOOKUP('Dados Proponente'!$B$31,$A:$D,2,FALSE))</f>
        <v>0</v>
      </c>
      <c r="J3" s="319"/>
      <c r="K3" s="1" t="s">
        <v>311</v>
      </c>
      <c r="L3" s="5">
        <v>15.2188</v>
      </c>
    </row>
    <row r="4" spans="1:15" x14ac:dyDescent="0.2">
      <c r="A4" s="1" t="s">
        <v>11</v>
      </c>
      <c r="B4" s="4">
        <v>200</v>
      </c>
      <c r="C4" s="5">
        <v>21</v>
      </c>
      <c r="D4" s="319"/>
      <c r="E4" s="1" t="s">
        <v>12</v>
      </c>
      <c r="F4" s="6">
        <v>0.05</v>
      </c>
      <c r="G4" s="6">
        <v>0.05</v>
      </c>
      <c r="H4" s="6">
        <v>0</v>
      </c>
      <c r="I4" s="6">
        <f>IF('Dados Proponente'!$B$31="Receita Bruta em 12 meses (em R$)",0,VLOOKUP('Dados Proponente'!$B$31,$A:$D,4,FALSE))</f>
        <v>0</v>
      </c>
      <c r="J4" s="319"/>
      <c r="K4" s="1" t="s">
        <v>312</v>
      </c>
      <c r="L4" s="5">
        <v>4.8449999999999998</v>
      </c>
    </row>
    <row r="5" spans="1:15" x14ac:dyDescent="0.2">
      <c r="A5" s="1" t="s">
        <v>13</v>
      </c>
      <c r="B5" s="4">
        <v>180</v>
      </c>
      <c r="C5" s="5">
        <v>25</v>
      </c>
      <c r="D5" s="319"/>
      <c r="E5" s="1" t="s">
        <v>12</v>
      </c>
      <c r="F5" s="6">
        <v>0.03</v>
      </c>
      <c r="G5" s="6">
        <v>0.03</v>
      </c>
      <c r="H5" s="6">
        <v>0</v>
      </c>
      <c r="I5" s="6">
        <f>IF('Dados Proponente'!$B$31="Receita Bruta em 12 meses (em R$)",0,VLOOKUP('Dados Proponente'!$B$31,$A:$D,4,FALSE))</f>
        <v>0</v>
      </c>
      <c r="J5" s="319"/>
      <c r="K5" s="1" t="s">
        <v>313</v>
      </c>
      <c r="L5" s="5">
        <v>20.7958</v>
      </c>
    </row>
    <row r="6" spans="1:15" x14ac:dyDescent="0.2">
      <c r="A6" s="1" t="s">
        <v>14</v>
      </c>
      <c r="B6" s="4">
        <v>150</v>
      </c>
      <c r="C6" s="5">
        <v>21</v>
      </c>
      <c r="D6" s="319"/>
      <c r="J6" s="319"/>
      <c r="K6" s="1" t="s">
        <v>314</v>
      </c>
      <c r="L6" s="5">
        <v>24.7958</v>
      </c>
    </row>
    <row r="7" spans="1:15" x14ac:dyDescent="0.2">
      <c r="A7" s="1" t="s">
        <v>15</v>
      </c>
      <c r="B7" s="4">
        <v>75</v>
      </c>
      <c r="C7" s="5">
        <v>12</v>
      </c>
      <c r="D7" s="319"/>
      <c r="E7" s="7">
        <v>1</v>
      </c>
      <c r="F7" s="1" t="str">
        <f>IF(E7=1,F1,IF(E7=2,G1,IF(E7=3,H1,I1)))</f>
        <v>Lucro Real</v>
      </c>
      <c r="J7" s="319"/>
      <c r="L7" s="5"/>
    </row>
    <row r="8" spans="1:15" x14ac:dyDescent="0.2">
      <c r="D8" s="319"/>
      <c r="E8" s="8" t="b">
        <v>1</v>
      </c>
      <c r="F8" s="1" t="str">
        <f>'Dados Proponente'!B31</f>
        <v>Receita Bruta em 12 meses (em R$)</v>
      </c>
      <c r="J8" s="319"/>
    </row>
    <row r="9" spans="1:15" x14ac:dyDescent="0.2">
      <c r="D9" s="319"/>
      <c r="E9" s="8"/>
      <c r="J9" s="319"/>
    </row>
    <row r="10" spans="1:15" ht="24.95" customHeight="1" x14ac:dyDescent="0.2">
      <c r="D10" s="319"/>
      <c r="F10" s="3" t="s">
        <v>355</v>
      </c>
      <c r="G10" s="3" t="s">
        <v>356</v>
      </c>
      <c r="J10" s="319"/>
    </row>
    <row r="11" spans="1:15" x14ac:dyDescent="0.2">
      <c r="D11" s="319"/>
      <c r="E11" s="1" t="s">
        <v>93</v>
      </c>
      <c r="F11" s="6">
        <v>0.02</v>
      </c>
      <c r="G11" s="6">
        <v>0.2</v>
      </c>
      <c r="J11" s="319"/>
    </row>
    <row r="12" spans="1:15" x14ac:dyDescent="0.2">
      <c r="D12" s="319"/>
      <c r="E12" s="327">
        <v>1</v>
      </c>
      <c r="F12" s="1" t="str">
        <f>IF(E12=1,F10,G10)</f>
        <v>Folha de Pagamento</v>
      </c>
      <c r="J12" s="319"/>
    </row>
    <row r="13" spans="1:15" ht="30" customHeight="1" x14ac:dyDescent="0.2">
      <c r="A13" s="319"/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</row>
    <row r="14" spans="1:15" x14ac:dyDescent="0.2">
      <c r="A14" s="1" t="s">
        <v>320</v>
      </c>
      <c r="B14" s="7" t="s">
        <v>10</v>
      </c>
      <c r="C14" s="7" t="s">
        <v>321</v>
      </c>
      <c r="D14" s="7" t="s">
        <v>12</v>
      </c>
    </row>
    <row r="15" spans="1:15" x14ac:dyDescent="0.2">
      <c r="A15" s="1" t="s">
        <v>322</v>
      </c>
      <c r="B15" s="321">
        <v>1.2800000000000001E-2</v>
      </c>
      <c r="C15" s="321">
        <v>0</v>
      </c>
      <c r="D15" s="321">
        <v>0.02</v>
      </c>
    </row>
    <row r="16" spans="1:15" x14ac:dyDescent="0.2">
      <c r="A16" s="1" t="s">
        <v>323</v>
      </c>
      <c r="B16" s="321">
        <v>1.9099999999999999E-2</v>
      </c>
      <c r="C16" s="321">
        <v>0</v>
      </c>
      <c r="D16" s="321">
        <v>2.7900000000000001E-2</v>
      </c>
    </row>
    <row r="17" spans="1:6" x14ac:dyDescent="0.2">
      <c r="A17" s="1" t="s">
        <v>324</v>
      </c>
      <c r="B17" s="321">
        <v>1.95E-2</v>
      </c>
      <c r="C17" s="321">
        <v>2.3999999999999998E-3</v>
      </c>
      <c r="D17" s="321">
        <v>3.5000000000000003E-2</v>
      </c>
    </row>
    <row r="18" spans="1:6" x14ac:dyDescent="0.2">
      <c r="A18" s="1" t="s">
        <v>325</v>
      </c>
      <c r="B18" s="321">
        <v>1.9900000000000001E-2</v>
      </c>
      <c r="C18" s="321">
        <v>2.7000000000000001E-3</v>
      </c>
      <c r="D18" s="321">
        <v>3.8399999999999997E-2</v>
      </c>
    </row>
    <row r="19" spans="1:6" x14ac:dyDescent="0.2">
      <c r="A19" s="1" t="s">
        <v>326</v>
      </c>
      <c r="B19" s="321">
        <v>2.0299999999999999E-2</v>
      </c>
      <c r="C19" s="321">
        <v>2.8999999999999998E-3</v>
      </c>
      <c r="D19" s="321">
        <v>3.8699999999999998E-2</v>
      </c>
    </row>
    <row r="20" spans="1:6" x14ac:dyDescent="0.2">
      <c r="A20" s="1" t="s">
        <v>327</v>
      </c>
      <c r="B20" s="321">
        <v>2.07E-2</v>
      </c>
      <c r="C20" s="321">
        <v>3.2000000000000002E-3</v>
      </c>
      <c r="D20" s="321">
        <v>4.2299999999999997E-2</v>
      </c>
    </row>
    <row r="21" spans="1:6" x14ac:dyDescent="0.2">
      <c r="A21" s="1" t="s">
        <v>328</v>
      </c>
      <c r="B21" s="321">
        <v>2.1100000000000001E-2</v>
      </c>
      <c r="C21" s="321">
        <v>3.3999999999999998E-3</v>
      </c>
      <c r="D21" s="321">
        <v>4.2599999999999999E-2</v>
      </c>
    </row>
    <row r="22" spans="1:6" x14ac:dyDescent="0.2">
      <c r="A22" s="1" t="s">
        <v>329</v>
      </c>
      <c r="B22" s="321">
        <v>2.1499999999999998E-2</v>
      </c>
      <c r="C22" s="321">
        <v>3.5000000000000001E-3</v>
      </c>
      <c r="D22" s="321">
        <v>4.3099999999999999E-2</v>
      </c>
    </row>
    <row r="23" spans="1:6" x14ac:dyDescent="0.2">
      <c r="A23" s="1" t="s">
        <v>330</v>
      </c>
      <c r="B23" s="321">
        <v>2.1899999999999999E-2</v>
      </c>
      <c r="C23" s="321">
        <v>3.7000000000000002E-3</v>
      </c>
      <c r="D23" s="321">
        <v>4.6100000000000002E-2</v>
      </c>
    </row>
    <row r="24" spans="1:6" x14ac:dyDescent="0.2">
      <c r="A24" s="1" t="s">
        <v>331</v>
      </c>
      <c r="B24" s="321">
        <v>2.23E-2</v>
      </c>
      <c r="C24" s="321">
        <v>3.8E-3</v>
      </c>
      <c r="D24" s="321">
        <v>4.65E-2</v>
      </c>
    </row>
    <row r="25" spans="1:6" x14ac:dyDescent="0.2">
      <c r="A25" s="1" t="s">
        <v>332</v>
      </c>
      <c r="B25" s="321">
        <v>2.2700000000000001E-2</v>
      </c>
      <c r="C25" s="321">
        <v>4.0000000000000001E-3</v>
      </c>
      <c r="D25" s="321">
        <v>0.05</v>
      </c>
      <c r="F25" s="322"/>
    </row>
    <row r="26" spans="1:6" x14ac:dyDescent="0.2">
      <c r="A26" s="1" t="s">
        <v>333</v>
      </c>
      <c r="B26" s="321">
        <v>2.3099999999999999E-2</v>
      </c>
      <c r="C26" s="321">
        <v>4.1999999999999997E-3</v>
      </c>
      <c r="D26" s="321">
        <v>0.05</v>
      </c>
    </row>
    <row r="27" spans="1:6" x14ac:dyDescent="0.2">
      <c r="A27" s="1" t="s">
        <v>334</v>
      </c>
      <c r="B27" s="321">
        <v>2.35E-2</v>
      </c>
      <c r="C27" s="321">
        <v>4.4000000000000003E-3</v>
      </c>
      <c r="D27" s="321">
        <v>0.05</v>
      </c>
    </row>
    <row r="28" spans="1:6" x14ac:dyDescent="0.2">
      <c r="A28" s="1" t="s">
        <v>335</v>
      </c>
      <c r="B28" s="321">
        <v>2.3900000000000001E-2</v>
      </c>
      <c r="C28" s="321">
        <v>4.5999999999999999E-3</v>
      </c>
      <c r="D28" s="321">
        <v>0.05</v>
      </c>
    </row>
    <row r="29" spans="1:6" x14ac:dyDescent="0.2">
      <c r="A29" s="1" t="s">
        <v>336</v>
      </c>
      <c r="B29" s="321">
        <v>2.4299999999999999E-2</v>
      </c>
      <c r="C29" s="321">
        <v>4.7000000000000002E-3</v>
      </c>
      <c r="D29" s="321">
        <v>0.05</v>
      </c>
    </row>
    <row r="30" spans="1:6" x14ac:dyDescent="0.2">
      <c r="A30" s="1" t="s">
        <v>337</v>
      </c>
      <c r="B30" s="321">
        <v>2.47E-2</v>
      </c>
      <c r="C30" s="321">
        <v>4.8999999999999998E-3</v>
      </c>
      <c r="D30" s="321">
        <v>0.05</v>
      </c>
    </row>
    <row r="31" spans="1:6" x14ac:dyDescent="0.2">
      <c r="A31" s="1" t="s">
        <v>338</v>
      </c>
      <c r="B31" s="321">
        <v>2.5100000000000001E-2</v>
      </c>
      <c r="C31" s="321">
        <v>5.1000000000000004E-3</v>
      </c>
      <c r="D31" s="321">
        <v>0.05</v>
      </c>
    </row>
    <row r="32" spans="1:6" x14ac:dyDescent="0.2">
      <c r="A32" s="1" t="s">
        <v>339</v>
      </c>
      <c r="B32" s="321">
        <v>2.5499999999999998E-2</v>
      </c>
      <c r="C32" s="321">
        <v>5.3E-3</v>
      </c>
      <c r="D32" s="321">
        <v>0.05</v>
      </c>
    </row>
    <row r="33" spans="1:4" x14ac:dyDescent="0.2">
      <c r="A33" s="1" t="s">
        <v>340</v>
      </c>
      <c r="B33" s="321">
        <v>2.5899999999999999E-2</v>
      </c>
      <c r="C33" s="321">
        <v>5.4999999999999997E-3</v>
      </c>
      <c r="D33" s="321">
        <v>0.05</v>
      </c>
    </row>
    <row r="34" spans="1:4" x14ac:dyDescent="0.2">
      <c r="A34" s="1" t="s">
        <v>341</v>
      </c>
      <c r="B34" s="321">
        <v>2.63E-2</v>
      </c>
      <c r="C34" s="321">
        <v>5.7000000000000002E-3</v>
      </c>
      <c r="D34" s="321">
        <v>0.05</v>
      </c>
    </row>
  </sheetData>
  <sheetProtection selectLockedCells="1" selectUnlockedCells="1"/>
  <phoneticPr fontId="41" type="noConversion"/>
  <pageMargins left="0.51180555555555551" right="0.51180555555555551" top="0.78749999999999998" bottom="0.78749999999999998" header="0.51180555555555551" footer="0.51180555555555551"/>
  <pageSetup paperSize="9" scale="58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Y65533"/>
  <sheetViews>
    <sheetView showOutlineSymbols="0" view="pageBreakPreview" topLeftCell="A46" zoomScale="160" zoomScaleSheetLayoutView="160" workbookViewId="0">
      <selection activeCell="I118" sqref="I118"/>
    </sheetView>
  </sheetViews>
  <sheetFormatPr defaultColWidth="0" defaultRowHeight="11.25" x14ac:dyDescent="0.2"/>
  <cols>
    <col min="1" max="1" width="0.7109375" style="96" customWidth="1"/>
    <col min="2" max="2" width="2.7109375" style="150" customWidth="1"/>
    <col min="3" max="3" width="2.7109375" style="151" customWidth="1"/>
    <col min="4" max="4" width="4.7109375" style="150" customWidth="1"/>
    <col min="5" max="5" width="10.28515625" style="150" customWidth="1"/>
    <col min="6" max="6" width="11.7109375" style="150" customWidth="1"/>
    <col min="7" max="8" width="12.7109375" style="150" customWidth="1"/>
    <col min="9" max="9" width="10.7109375" style="150" customWidth="1"/>
    <col min="10" max="11" width="14.7109375" style="150" customWidth="1"/>
    <col min="12" max="16384" width="0" style="150" hidden="1"/>
  </cols>
  <sheetData>
    <row r="1" spans="2:25" s="96" customFormat="1" ht="14.1" customHeight="1" x14ac:dyDescent="0.2">
      <c r="B1" s="298" t="s">
        <v>353</v>
      </c>
      <c r="C1" s="298"/>
      <c r="D1" s="298"/>
      <c r="E1" s="298"/>
      <c r="F1" s="298"/>
      <c r="G1" s="298"/>
      <c r="H1" s="298"/>
      <c r="I1" s="298"/>
      <c r="J1" s="298"/>
      <c r="K1" s="298"/>
      <c r="L1" s="473"/>
      <c r="M1" s="473"/>
      <c r="N1" s="473"/>
      <c r="O1" s="473"/>
      <c r="P1" s="473"/>
      <c r="Q1" s="473"/>
      <c r="R1" s="473"/>
      <c r="S1" s="473"/>
      <c r="T1" s="473"/>
      <c r="U1" s="473"/>
      <c r="V1" s="473"/>
      <c r="W1" s="473"/>
      <c r="X1" s="473"/>
      <c r="Y1" s="473"/>
    </row>
    <row r="2" spans="2:25" s="96" customFormat="1" ht="9.9499999999999993" customHeight="1" x14ac:dyDescent="0.2">
      <c r="B2" s="174"/>
      <c r="C2" s="176"/>
      <c r="D2" s="177"/>
      <c r="E2" s="178"/>
      <c r="F2" s="179"/>
      <c r="G2" s="179"/>
      <c r="H2" s="179"/>
      <c r="I2" s="179"/>
      <c r="J2" s="179"/>
      <c r="K2" s="179"/>
    </row>
    <row r="3" spans="2:25" s="96" customFormat="1" ht="9.9499999999999993" customHeight="1" x14ac:dyDescent="0.2"/>
    <row r="4" spans="2:25" s="96" customFormat="1" ht="14.1" customHeight="1" x14ac:dyDescent="0.2">
      <c r="B4" s="483" t="s">
        <v>161</v>
      </c>
      <c r="C4" s="483"/>
      <c r="D4" s="483"/>
      <c r="E4" s="476" t="str">
        <f>IF(ISBLANK('Dados Contratação'!$B$6),"000/2014",'Dados Contratação'!$B$6)</f>
        <v>22098/2020</v>
      </c>
      <c r="F4" s="477"/>
      <c r="G4" s="170"/>
      <c r="I4" s="171" t="s">
        <v>162</v>
      </c>
      <c r="J4" s="474" t="str">
        <f>IF(ISBLANK('Dados Contratação'!$E$6),"(NÚMERO DA LICITAÇÃO)",'Dados Contratação'!$E$6)</f>
        <v>XX/2020</v>
      </c>
      <c r="K4" s="475"/>
    </row>
    <row r="5" spans="2:25" s="173" customFormat="1" ht="39.950000000000003" customHeight="1" x14ac:dyDescent="0.2">
      <c r="B5" s="174" t="s">
        <v>163</v>
      </c>
      <c r="C5" s="174"/>
      <c r="D5" s="175"/>
      <c r="E5" s="467" t="str">
        <f>'Dados Contratação'!B13</f>
        <v>Contratação de empresa para fornecimento de mão de obra para prestação de serviços especializados e contínuos de Tecnologia da Informação para composição de Central de Serviços no modelo ITIL (Information Technology Infrastructure Library), visando atender às necessidades do TRT da 24ª Região</v>
      </c>
      <c r="F5" s="467"/>
      <c r="G5" s="468"/>
      <c r="H5" s="468"/>
      <c r="I5" s="468"/>
      <c r="J5" s="467"/>
      <c r="K5" s="467"/>
    </row>
    <row r="6" spans="2:25" s="96" customFormat="1" ht="9.9499999999999993" customHeight="1" x14ac:dyDescent="0.2"/>
    <row r="7" spans="2:25" s="96" customFormat="1" ht="14.1" customHeight="1" x14ac:dyDescent="0.15">
      <c r="B7" s="71" t="s">
        <v>164</v>
      </c>
      <c r="C7" s="169"/>
      <c r="D7" s="169"/>
      <c r="E7" s="309">
        <f>IF(ISBLANK('Dados Contratação'!$G$6),"dd/mm/aaaa",'Dados Contratação'!$G$6)</f>
        <v>44119</v>
      </c>
      <c r="F7" s="170"/>
      <c r="G7" s="170"/>
      <c r="H7" s="171" t="s">
        <v>165</v>
      </c>
      <c r="I7" s="310">
        <f>IF(ISBLANK('Dados Contratação'!$I$6),"00:00",'Dados Contratação'!$I$6)</f>
        <v>0.58333333333333337</v>
      </c>
      <c r="J7" s="170"/>
      <c r="K7" s="170"/>
    </row>
    <row r="8" spans="2:25" s="96" customFormat="1" ht="6" customHeight="1" x14ac:dyDescent="0.2"/>
    <row r="9" spans="2:25" s="96" customFormat="1" ht="14.1" customHeight="1" x14ac:dyDescent="0.2">
      <c r="B9" s="71" t="s">
        <v>166</v>
      </c>
      <c r="E9" s="470" t="str">
        <f>IF(ISBLANK('Dados Proponente'!$B$6),"(NOME DA EMPRESA)",'Dados Proponente'!$B$6)</f>
        <v>(NOME DA EMPRESA)</v>
      </c>
      <c r="F9" s="470"/>
      <c r="G9" s="470"/>
      <c r="H9" s="470"/>
      <c r="I9" s="470"/>
      <c r="J9" s="470"/>
      <c r="K9" s="470"/>
    </row>
    <row r="10" spans="2:25" s="96" customFormat="1" ht="6" customHeight="1" x14ac:dyDescent="0.2"/>
    <row r="11" spans="2:25" s="96" customFormat="1" ht="14.1" customHeight="1" x14ac:dyDescent="0.2">
      <c r="B11" s="71" t="s">
        <v>167</v>
      </c>
      <c r="C11" s="171"/>
      <c r="D11" s="171"/>
      <c r="E11" s="465" t="str">
        <f>IF(ISBLANK('Dados Proponente'!$H$6),"(CNPJ)",'Dados Proponente'!$H$6)</f>
        <v>(CNPJ)</v>
      </c>
      <c r="F11" s="465"/>
      <c r="G11" s="465"/>
      <c r="H11" s="465"/>
      <c r="I11" s="465"/>
      <c r="J11" s="172"/>
      <c r="K11" s="172"/>
    </row>
    <row r="12" spans="2:25" s="96" customFormat="1" ht="9.9499999999999993" customHeight="1" x14ac:dyDescent="0.2">
      <c r="B12" s="174"/>
      <c r="C12" s="176"/>
      <c r="D12" s="177"/>
      <c r="E12" s="178"/>
      <c r="F12" s="179"/>
      <c r="G12" s="179"/>
      <c r="H12" s="179"/>
      <c r="I12" s="179"/>
      <c r="J12" s="179"/>
      <c r="K12" s="179"/>
    </row>
    <row r="13" spans="2:25" s="96" customFormat="1" ht="9.9499999999999993" customHeight="1" x14ac:dyDescent="0.2"/>
    <row r="14" spans="2:25" s="96" customFormat="1" ht="20.100000000000001" customHeight="1" x14ac:dyDescent="0.2">
      <c r="B14" s="466" t="s">
        <v>168</v>
      </c>
      <c r="C14" s="466"/>
      <c r="D14" s="466"/>
      <c r="E14" s="466"/>
      <c r="F14" s="466"/>
      <c r="G14" s="466" t="s">
        <v>169</v>
      </c>
      <c r="H14" s="466"/>
      <c r="I14" s="466"/>
      <c r="J14" s="466" t="s">
        <v>170</v>
      </c>
      <c r="K14" s="466"/>
    </row>
    <row r="15" spans="2:25" s="96" customFormat="1" ht="24.95" customHeight="1" thickBot="1" x14ac:dyDescent="0.25">
      <c r="B15" s="491" t="str">
        <f>'Dados Contratação'!D22</f>
        <v>Prédio-Sede do Fórum Trabalhista de Campo Grande</v>
      </c>
      <c r="C15" s="492"/>
      <c r="D15" s="492"/>
      <c r="E15" s="492"/>
      <c r="F15" s="493"/>
      <c r="G15" s="478" t="str">
        <f>'Dados Contratação'!E22</f>
        <v>44 horas semanais</v>
      </c>
      <c r="H15" s="478"/>
      <c r="I15" s="478"/>
      <c r="J15" s="469">
        <f>'Dados Contratação'!J22</f>
        <v>2</v>
      </c>
      <c r="K15" s="469"/>
    </row>
    <row r="16" spans="2:25" s="96" customFormat="1" ht="9.9499999999999993" customHeight="1" x14ac:dyDescent="0.2">
      <c r="B16" s="174"/>
      <c r="C16" s="176"/>
      <c r="D16" s="177"/>
      <c r="E16" s="178"/>
      <c r="F16" s="179"/>
      <c r="G16" s="179"/>
      <c r="H16" s="179"/>
      <c r="I16" s="179"/>
      <c r="J16" s="179"/>
      <c r="K16" s="179"/>
    </row>
    <row r="17" spans="1:11" s="96" customFormat="1" ht="9.9499999999999993" customHeight="1" x14ac:dyDescent="0.2"/>
    <row r="18" spans="1:11" s="96" customFormat="1" ht="20.100000000000001" customHeight="1" x14ac:dyDescent="0.2">
      <c r="B18" s="471" t="s">
        <v>172</v>
      </c>
      <c r="C18" s="471"/>
      <c r="D18" s="471"/>
      <c r="E18" s="471"/>
      <c r="F18" s="466" t="s">
        <v>173</v>
      </c>
      <c r="G18" s="466"/>
      <c r="H18" s="466" t="s">
        <v>174</v>
      </c>
      <c r="I18" s="466"/>
      <c r="J18" s="466" t="s">
        <v>175</v>
      </c>
      <c r="K18" s="466"/>
    </row>
    <row r="19" spans="1:11" s="96" customFormat="1" ht="24.95" customHeight="1" thickBot="1" x14ac:dyDescent="0.25">
      <c r="B19" s="472" t="str">
        <f>'Dados Contratação'!C22</f>
        <v xml:space="preserve">Técnico de Informática </v>
      </c>
      <c r="C19" s="494"/>
      <c r="D19" s="494"/>
      <c r="E19" s="495"/>
      <c r="F19" s="485">
        <f>IF(ISBLANK(Encargos_Benefícios!$I$15),"dd/mm/aaaa",Encargos_Benefícios!$I$15)</f>
        <v>43983</v>
      </c>
      <c r="G19" s="485"/>
      <c r="H19" s="484">
        <f>Encargos_Benefícios!I11</f>
        <v>1100</v>
      </c>
      <c r="I19" s="484"/>
      <c r="J19" s="484">
        <f>Encargos_Benefícios!I12</f>
        <v>1968.86</v>
      </c>
      <c r="K19" s="484"/>
    </row>
    <row r="20" spans="1:11" s="96" customFormat="1" ht="9.9499999999999993" customHeight="1" x14ac:dyDescent="0.2">
      <c r="B20" s="174"/>
      <c r="C20" s="176"/>
      <c r="D20" s="177"/>
      <c r="E20" s="178"/>
      <c r="F20" s="179"/>
      <c r="G20" s="179"/>
      <c r="H20" s="179"/>
      <c r="I20" s="179"/>
      <c r="J20" s="179"/>
      <c r="K20" s="179"/>
    </row>
    <row r="21" spans="1:11" s="96" customFormat="1" ht="9.9499999999999993" customHeight="1" x14ac:dyDescent="0.2">
      <c r="I21" s="180">
        <f>ROUND(((($J$19+J29+J30)/220)*1.75),2)</f>
        <v>15.66</v>
      </c>
      <c r="J21" s="180">
        <f>ROUND(((($J$19+J29+J30)/220)*1.5),2)</f>
        <v>13.42</v>
      </c>
      <c r="K21" s="180">
        <f>ROUND(((($J$19+J29+J30)/220)*2),2)</f>
        <v>17.899999999999999</v>
      </c>
    </row>
    <row r="22" spans="1:11" s="96" customFormat="1" ht="14.1" customHeight="1" x14ac:dyDescent="0.2">
      <c r="B22" s="181"/>
      <c r="C22" s="182" t="s">
        <v>91</v>
      </c>
      <c r="D22" s="70"/>
      <c r="E22" s="70"/>
      <c r="F22" s="70"/>
      <c r="G22" s="70"/>
      <c r="H22" s="70"/>
      <c r="I22" s="183">
        <f>(ROUND(((($J$19+J29+J30)/220)*1.75),2)*1.25)</f>
        <v>19.574999999999999</v>
      </c>
      <c r="J22" s="180">
        <f>(ROUND(((($J$19+J29+J30)/220)*1.5),2)*1.25)</f>
        <v>16.774999999999999</v>
      </c>
      <c r="K22" s="180">
        <f>(ROUND(((($J$19+J29+J30)/220)*2),2)*1.25)</f>
        <v>22.375</v>
      </c>
    </row>
    <row r="23" spans="1:11" s="186" customFormat="1" ht="24.95" customHeight="1" x14ac:dyDescent="0.2">
      <c r="A23" s="96"/>
      <c r="B23" s="96"/>
      <c r="C23" s="96"/>
      <c r="D23" s="96"/>
      <c r="E23" s="96"/>
      <c r="F23" s="96"/>
      <c r="G23" s="96"/>
      <c r="H23" s="96"/>
      <c r="I23" s="96"/>
      <c r="J23" s="184" t="s">
        <v>176</v>
      </c>
      <c r="K23" s="185" t="s">
        <v>177</v>
      </c>
    </row>
    <row r="24" spans="1:11" s="186" customFormat="1" ht="12.95" customHeight="1" x14ac:dyDescent="0.2">
      <c r="A24" s="96"/>
      <c r="B24" s="96"/>
      <c r="C24" s="187"/>
      <c r="D24" s="100" t="s">
        <v>178</v>
      </c>
      <c r="E24" s="100"/>
      <c r="F24" s="100"/>
      <c r="G24" s="100"/>
      <c r="H24" s="100"/>
      <c r="I24" s="100"/>
      <c r="J24" s="188">
        <f>$J$19</f>
        <v>1968.86</v>
      </c>
      <c r="K24" s="189">
        <f t="shared" ref="K24:K30" si="0">IF($J24=0,0,(J24/J$105))</f>
        <v>0.54155618391664551</v>
      </c>
    </row>
    <row r="25" spans="1:11" s="186" customFormat="1" ht="12.95" customHeight="1" x14ac:dyDescent="0.2">
      <c r="A25" s="96"/>
      <c r="B25" s="96"/>
      <c r="C25" s="190"/>
      <c r="D25" s="100" t="s">
        <v>315</v>
      </c>
      <c r="E25" s="111"/>
      <c r="F25" s="111"/>
      <c r="G25" s="111"/>
      <c r="H25" s="111"/>
      <c r="I25" s="191">
        <v>0</v>
      </c>
      <c r="J25" s="192">
        <f>TRUNC(ROUND($I25*J$24,2),2)</f>
        <v>0</v>
      </c>
      <c r="K25" s="189">
        <f t="shared" si="0"/>
        <v>0</v>
      </c>
    </row>
    <row r="26" spans="1:11" s="186" customFormat="1" ht="12.95" customHeight="1" x14ac:dyDescent="0.2">
      <c r="A26" s="96"/>
      <c r="B26" s="96"/>
      <c r="C26" s="190"/>
      <c r="D26" s="111" t="s">
        <v>179</v>
      </c>
      <c r="E26" s="111"/>
      <c r="F26" s="111"/>
      <c r="G26" s="111"/>
      <c r="H26" s="111"/>
      <c r="I26" s="193">
        <v>0</v>
      </c>
      <c r="J26" s="192">
        <f>TRUNC(ROUND($I26*H19,2),2)</f>
        <v>0</v>
      </c>
      <c r="K26" s="189">
        <f t="shared" si="0"/>
        <v>0</v>
      </c>
    </row>
    <row r="27" spans="1:11" s="186" customFormat="1" ht="12.95" customHeight="1" x14ac:dyDescent="0.2">
      <c r="A27" s="96"/>
      <c r="B27" s="96"/>
      <c r="C27" s="190"/>
      <c r="D27" s="100" t="s">
        <v>180</v>
      </c>
      <c r="E27" s="100"/>
      <c r="F27" s="100"/>
      <c r="G27" s="100"/>
      <c r="H27" s="100"/>
      <c r="I27" s="193">
        <v>0</v>
      </c>
      <c r="J27" s="192">
        <f>TRUNC((ROUND($I27*J19,2))/2,2)</f>
        <v>0</v>
      </c>
      <c r="K27" s="189">
        <f t="shared" si="0"/>
        <v>0</v>
      </c>
    </row>
    <row r="28" spans="1:11" s="186" customFormat="1" ht="12.95" customHeight="1" x14ac:dyDescent="0.2">
      <c r="A28" s="96"/>
      <c r="B28" s="96"/>
      <c r="C28" s="187"/>
      <c r="D28" s="111" t="s">
        <v>181</v>
      </c>
      <c r="E28" s="111"/>
      <c r="F28" s="111"/>
      <c r="G28" s="111"/>
      <c r="H28" s="111"/>
      <c r="I28" s="193">
        <v>0</v>
      </c>
      <c r="J28" s="192">
        <f>TRUNC(ROUND(I28*J21,2),2)</f>
        <v>0</v>
      </c>
      <c r="K28" s="189">
        <f t="shared" si="0"/>
        <v>0</v>
      </c>
    </row>
    <row r="29" spans="1:11" s="186" customFormat="1" ht="12.95" customHeight="1" x14ac:dyDescent="0.2">
      <c r="A29" s="96"/>
      <c r="B29" s="96"/>
      <c r="C29" s="187"/>
      <c r="D29" s="111" t="s">
        <v>316</v>
      </c>
      <c r="E29" s="111"/>
      <c r="F29" s="111"/>
      <c r="G29" s="111"/>
      <c r="H29" s="111"/>
      <c r="I29" s="193">
        <v>0</v>
      </c>
      <c r="J29" s="192">
        <f>TRUNC(ROUND($I29*J$24,2),2)</f>
        <v>0</v>
      </c>
      <c r="K29" s="189">
        <f t="shared" si="0"/>
        <v>0</v>
      </c>
    </row>
    <row r="30" spans="1:11" s="186" customFormat="1" ht="12.95" customHeight="1" thickBot="1" x14ac:dyDescent="0.25">
      <c r="A30" s="96"/>
      <c r="B30" s="96"/>
      <c r="C30" s="187"/>
      <c r="D30" s="111" t="s">
        <v>182</v>
      </c>
      <c r="E30" s="111"/>
      <c r="F30" s="488"/>
      <c r="G30" s="488"/>
      <c r="H30" s="488"/>
      <c r="I30" s="489"/>
      <c r="J30" s="194">
        <v>0</v>
      </c>
      <c r="K30" s="189">
        <f t="shared" si="0"/>
        <v>0</v>
      </c>
    </row>
    <row r="31" spans="1:11" s="186" customFormat="1" ht="14.1" customHeight="1" thickBot="1" x14ac:dyDescent="0.25">
      <c r="A31" s="96"/>
      <c r="B31" s="195"/>
      <c r="C31" s="196"/>
      <c r="D31" s="197" t="s">
        <v>183</v>
      </c>
      <c r="E31" s="166"/>
      <c r="F31" s="166"/>
      <c r="G31" s="166"/>
      <c r="H31" s="166"/>
      <c r="I31" s="166"/>
      <c r="J31" s="198">
        <f>TRUNC(ROUND(SUM(J24:J30),2),2)</f>
        <v>1968.86</v>
      </c>
      <c r="K31" s="199">
        <f>IF($J31=0,0,(SUM(K24:K30)))</f>
        <v>0.54155618391664551</v>
      </c>
    </row>
    <row r="32" spans="1:11" s="96" customFormat="1" ht="12.95" customHeight="1" x14ac:dyDescent="0.2">
      <c r="J32" s="200"/>
      <c r="K32" s="200"/>
    </row>
    <row r="33" spans="1:11" s="96" customFormat="1" ht="14.1" customHeight="1" x14ac:dyDescent="0.2">
      <c r="B33" s="181"/>
      <c r="C33" s="182" t="s">
        <v>184</v>
      </c>
      <c r="D33" s="70"/>
      <c r="E33" s="70"/>
      <c r="F33" s="70"/>
      <c r="G33" s="70"/>
      <c r="H33" s="70"/>
      <c r="I33" s="70"/>
      <c r="J33" s="201"/>
      <c r="K33" s="71"/>
    </row>
    <row r="34" spans="1:11" s="203" customFormat="1" ht="24.95" customHeight="1" x14ac:dyDescent="0.2">
      <c r="A34" s="96"/>
      <c r="B34" s="96"/>
      <c r="C34" s="96"/>
      <c r="D34" s="96"/>
      <c r="E34" s="96"/>
      <c r="F34" s="96"/>
      <c r="G34" s="96"/>
      <c r="H34" s="96"/>
      <c r="I34" s="202"/>
      <c r="J34" s="184" t="s">
        <v>176</v>
      </c>
      <c r="K34" s="185" t="s">
        <v>177</v>
      </c>
    </row>
    <row r="35" spans="1:11" s="203" customFormat="1" ht="12.95" customHeight="1" x14ac:dyDescent="0.2">
      <c r="A35" s="96"/>
      <c r="B35" s="96"/>
      <c r="C35" s="110"/>
      <c r="D35" s="100" t="s">
        <v>185</v>
      </c>
      <c r="E35" s="100"/>
      <c r="F35" s="100"/>
      <c r="G35" s="100"/>
      <c r="H35" s="100"/>
      <c r="I35" s="79"/>
      <c r="J35" s="192">
        <f>Encargos_Benefícios!$H59</f>
        <v>56.55</v>
      </c>
      <c r="K35" s="189">
        <f t="shared" ref="K35:K40" si="1">IF($J35=0,0,(J35/J$105))</f>
        <v>1.5554687585956496E-2</v>
      </c>
    </row>
    <row r="36" spans="1:11" s="203" customFormat="1" ht="12.95" customHeight="1" x14ac:dyDescent="0.2">
      <c r="A36" s="96"/>
      <c r="B36" s="96"/>
      <c r="C36" s="110"/>
      <c r="D36" s="100" t="s">
        <v>186</v>
      </c>
      <c r="E36" s="100"/>
      <c r="F36" s="100"/>
      <c r="G36" s="100"/>
      <c r="H36" s="100"/>
      <c r="I36" s="79"/>
      <c r="J36" s="192">
        <f>Encargos_Benefícios!$H70</f>
        <v>400</v>
      </c>
      <c r="K36" s="189">
        <f t="shared" si="1"/>
        <v>0.11002431537369758</v>
      </c>
    </row>
    <row r="37" spans="1:11" s="203" customFormat="1" ht="12.95" customHeight="1" x14ac:dyDescent="0.2">
      <c r="A37" s="96"/>
      <c r="B37" s="96"/>
      <c r="C37" s="110"/>
      <c r="D37" s="73" t="s">
        <v>109</v>
      </c>
      <c r="E37" s="100"/>
      <c r="F37" s="100"/>
      <c r="G37" s="100"/>
      <c r="H37" s="100"/>
      <c r="I37" s="79"/>
      <c r="J37" s="192">
        <f>Encargos_Benefícios!$H34</f>
        <v>0</v>
      </c>
      <c r="K37" s="189">
        <f t="shared" si="1"/>
        <v>0</v>
      </c>
    </row>
    <row r="38" spans="1:11" s="203" customFormat="1" ht="12.95" customHeight="1" x14ac:dyDescent="0.2">
      <c r="A38" s="96"/>
      <c r="B38" s="96"/>
      <c r="C38" s="110"/>
      <c r="D38" s="100" t="s">
        <v>113</v>
      </c>
      <c r="E38" s="100"/>
      <c r="F38" s="100"/>
      <c r="G38" s="100"/>
      <c r="H38" s="100"/>
      <c r="I38" s="79"/>
      <c r="J38" s="192">
        <f>Encargos_Benefícios!$H41</f>
        <v>0</v>
      </c>
      <c r="K38" s="189">
        <f t="shared" si="1"/>
        <v>0</v>
      </c>
    </row>
    <row r="39" spans="1:11" s="203" customFormat="1" ht="12.95" customHeight="1" x14ac:dyDescent="0.2">
      <c r="A39" s="96"/>
      <c r="B39" s="96"/>
      <c r="C39" s="110"/>
      <c r="D39" s="100" t="s">
        <v>187</v>
      </c>
      <c r="E39" s="100"/>
      <c r="F39" s="100"/>
      <c r="G39" s="100"/>
      <c r="H39" s="100"/>
      <c r="I39" s="79"/>
      <c r="J39" s="192">
        <f>Encargos_Benefícios!$H45</f>
        <v>1.36</v>
      </c>
      <c r="K39" s="189">
        <f t="shared" si="1"/>
        <v>3.7408267227057181E-4</v>
      </c>
    </row>
    <row r="40" spans="1:11" s="203" customFormat="1" ht="14.1" customHeight="1" thickBot="1" x14ac:dyDescent="0.25">
      <c r="A40" s="96"/>
      <c r="B40" s="96"/>
      <c r="C40" s="110"/>
      <c r="D40" s="100" t="s">
        <v>188</v>
      </c>
      <c r="E40" s="100"/>
      <c r="F40" s="487" t="s">
        <v>360</v>
      </c>
      <c r="G40" s="487"/>
      <c r="H40" s="487"/>
      <c r="I40" s="79"/>
      <c r="J40" s="194">
        <v>0</v>
      </c>
      <c r="K40" s="189">
        <f t="shared" si="1"/>
        <v>0</v>
      </c>
    </row>
    <row r="41" spans="1:11" s="203" customFormat="1" ht="14.1" customHeight="1" thickBot="1" x14ac:dyDescent="0.25">
      <c r="A41" s="96"/>
      <c r="B41" s="96"/>
      <c r="C41" s="196"/>
      <c r="D41" s="197" t="s">
        <v>189</v>
      </c>
      <c r="E41" s="166"/>
      <c r="F41" s="166"/>
      <c r="G41" s="166"/>
      <c r="H41" s="166"/>
      <c r="I41" s="166"/>
      <c r="J41" s="198">
        <f>TRUNC(ROUND(SUM(J35:J40),2),2)</f>
        <v>457.91</v>
      </c>
      <c r="K41" s="199">
        <f>IF($J41=0,0,(SUM(K35:K40)))</f>
        <v>0.12595308563192464</v>
      </c>
    </row>
    <row r="42" spans="1:11" s="96" customFormat="1" ht="12.95" customHeight="1" x14ac:dyDescent="0.2">
      <c r="J42" s="200"/>
      <c r="K42" s="200"/>
    </row>
    <row r="43" spans="1:11" s="96" customFormat="1" ht="14.1" customHeight="1" x14ac:dyDescent="0.2">
      <c r="B43" s="181"/>
      <c r="C43" s="182" t="s">
        <v>190</v>
      </c>
      <c r="D43" s="70"/>
      <c r="E43" s="70"/>
      <c r="F43" s="70"/>
      <c r="G43" s="70"/>
      <c r="H43" s="70"/>
      <c r="I43" s="70"/>
      <c r="J43" s="204"/>
      <c r="K43" s="205"/>
    </row>
    <row r="44" spans="1:11" s="203" customFormat="1" ht="24.95" customHeight="1" x14ac:dyDescent="0.2">
      <c r="A44" s="96"/>
      <c r="B44" s="96"/>
      <c r="C44" s="96"/>
      <c r="D44" s="96"/>
      <c r="E44" s="96"/>
      <c r="F44" s="96"/>
      <c r="G44" s="96"/>
      <c r="H44" s="96"/>
      <c r="I44" s="202"/>
      <c r="J44" s="184" t="s">
        <v>176</v>
      </c>
      <c r="K44" s="185" t="s">
        <v>177</v>
      </c>
    </row>
    <row r="45" spans="1:11" s="203" customFormat="1" ht="12.95" customHeight="1" x14ac:dyDescent="0.2">
      <c r="A45" s="96"/>
      <c r="B45" s="96"/>
      <c r="C45" s="110"/>
      <c r="D45" s="100" t="s">
        <v>191</v>
      </c>
      <c r="E45" s="100"/>
      <c r="F45" s="100"/>
      <c r="G45" s="100"/>
      <c r="H45" s="100"/>
      <c r="I45" s="79"/>
      <c r="J45" s="192">
        <f>Uniformes!I16</f>
        <v>120.16</v>
      </c>
      <c r="K45" s="189">
        <f>IF($J45=0,0,(J45/J$105))</f>
        <v>3.3051304338258758E-2</v>
      </c>
    </row>
    <row r="46" spans="1:11" s="203" customFormat="1" ht="12.95" customHeight="1" x14ac:dyDescent="0.2">
      <c r="A46" s="96"/>
      <c r="B46" s="96"/>
      <c r="C46" s="110"/>
      <c r="D46" s="100" t="s">
        <v>297</v>
      </c>
      <c r="E46" s="100"/>
      <c r="F46" s="100"/>
      <c r="G46" s="100"/>
      <c r="H46" s="100"/>
      <c r="I46" s="79"/>
      <c r="J46" s="192">
        <v>0</v>
      </c>
      <c r="K46" s="189">
        <f>IF($J46=0,0,(J46/J$105))</f>
        <v>0</v>
      </c>
    </row>
    <row r="47" spans="1:11" s="203" customFormat="1" ht="12.95" customHeight="1" x14ac:dyDescent="0.2">
      <c r="A47" s="96"/>
      <c r="B47" s="96"/>
      <c r="C47" s="110"/>
      <c r="D47" s="100" t="s">
        <v>350</v>
      </c>
      <c r="E47" s="100"/>
      <c r="F47" s="100"/>
      <c r="G47" s="100"/>
      <c r="H47" s="100"/>
      <c r="I47" s="79"/>
      <c r="J47" s="192">
        <v>0</v>
      </c>
      <c r="K47" s="189">
        <f>IF($J47=0,0,(J47/J$105))</f>
        <v>0</v>
      </c>
    </row>
    <row r="48" spans="1:11" s="203" customFormat="1" ht="12.95" customHeight="1" x14ac:dyDescent="0.2">
      <c r="A48" s="96"/>
      <c r="B48" s="96"/>
      <c r="C48" s="110"/>
      <c r="D48" s="100" t="s">
        <v>351</v>
      </c>
      <c r="E48" s="100"/>
      <c r="F48" s="100"/>
      <c r="G48" s="100"/>
      <c r="H48" s="100"/>
      <c r="I48" s="79"/>
      <c r="J48" s="192">
        <v>0</v>
      </c>
      <c r="K48" s="189">
        <f>IF($J48=0,0,(J48/J$105))</f>
        <v>0</v>
      </c>
    </row>
    <row r="49" spans="1:11" s="203" customFormat="1" ht="14.1" customHeight="1" thickBot="1" x14ac:dyDescent="0.25">
      <c r="A49" s="96"/>
      <c r="B49" s="96"/>
      <c r="C49" s="110"/>
      <c r="D49" s="100" t="s">
        <v>188</v>
      </c>
      <c r="E49" s="100"/>
      <c r="F49" s="487"/>
      <c r="G49" s="487"/>
      <c r="H49" s="487"/>
      <c r="I49" s="79"/>
      <c r="J49" s="194">
        <v>0</v>
      </c>
      <c r="K49" s="189">
        <f>IF($J49=0,0,(J49/J$105))</f>
        <v>0</v>
      </c>
    </row>
    <row r="50" spans="1:11" s="203" customFormat="1" ht="14.1" customHeight="1" x14ac:dyDescent="0.2">
      <c r="A50" s="96"/>
      <c r="B50" s="96"/>
      <c r="C50" s="206"/>
      <c r="D50" s="197" t="s">
        <v>192</v>
      </c>
      <c r="E50" s="166"/>
      <c r="F50" s="166"/>
      <c r="G50" s="166"/>
      <c r="H50" s="166"/>
      <c r="I50" s="166"/>
      <c r="J50" s="198">
        <f>TRUNC(ROUND(SUM(J45:J49),2),2)</f>
        <v>120.16</v>
      </c>
      <c r="K50" s="199">
        <f>IF($J50=0,0,(SUM(K45:K45)))</f>
        <v>3.3051304338258758E-2</v>
      </c>
    </row>
    <row r="51" spans="1:11" s="203" customFormat="1" ht="12.95" customHeight="1" x14ac:dyDescent="0.2">
      <c r="A51" s="96"/>
      <c r="B51" s="96"/>
      <c r="C51" s="141"/>
      <c r="D51" s="207"/>
      <c r="E51" s="207"/>
      <c r="F51" s="207"/>
      <c r="G51" s="207"/>
      <c r="H51" s="207"/>
      <c r="I51" s="208"/>
      <c r="J51" s="209"/>
      <c r="K51" s="209"/>
    </row>
    <row r="52" spans="1:11" s="96" customFormat="1" ht="14.1" customHeight="1" x14ac:dyDescent="0.2">
      <c r="B52" s="181"/>
      <c r="C52" s="182" t="s">
        <v>193</v>
      </c>
      <c r="D52" s="70"/>
      <c r="E52" s="70"/>
      <c r="F52" s="70"/>
      <c r="G52" s="70"/>
      <c r="H52" s="70"/>
      <c r="I52" s="70"/>
      <c r="J52" s="201"/>
      <c r="K52" s="71"/>
    </row>
    <row r="53" spans="1:11" s="203" customFormat="1" ht="20.100000000000001" customHeight="1" x14ac:dyDescent="0.2">
      <c r="A53" s="96"/>
      <c r="B53" s="96"/>
      <c r="C53" s="210"/>
      <c r="D53" s="211" t="s">
        <v>194</v>
      </c>
      <c r="E53" s="212"/>
      <c r="F53" s="212"/>
      <c r="G53" s="212"/>
      <c r="H53" s="212"/>
      <c r="I53" s="212"/>
      <c r="J53" s="212"/>
      <c r="K53" s="212"/>
    </row>
    <row r="54" spans="1:11" s="203" customFormat="1" ht="24.95" customHeight="1" x14ac:dyDescent="0.2">
      <c r="A54" s="96"/>
      <c r="B54" s="96"/>
      <c r="C54" s="96"/>
      <c r="D54" s="96"/>
      <c r="E54" s="96"/>
      <c r="F54" s="96"/>
      <c r="G54" s="96"/>
      <c r="H54" s="96"/>
      <c r="I54" s="202"/>
      <c r="J54" s="184" t="s">
        <v>176</v>
      </c>
      <c r="K54" s="185" t="s">
        <v>177</v>
      </c>
    </row>
    <row r="55" spans="1:11" s="203" customFormat="1" ht="12.95" customHeight="1" x14ac:dyDescent="0.2">
      <c r="A55" s="96"/>
      <c r="B55" s="96"/>
      <c r="C55" s="110"/>
      <c r="D55" s="100"/>
      <c r="E55" s="100" t="s">
        <v>93</v>
      </c>
      <c r="F55" s="100"/>
      <c r="G55" s="100"/>
      <c r="H55" s="100"/>
      <c r="I55" s="79"/>
      <c r="J55" s="192">
        <f>TRUNC(ROUND(Encargos_Benefícios!$I19*($J$31+$J$69),2),2)</f>
        <v>0</v>
      </c>
      <c r="K55" s="189">
        <f t="shared" ref="K55:K62" si="2">IF($J55=0,0,(J55/J$105))</f>
        <v>0</v>
      </c>
    </row>
    <row r="56" spans="1:11" s="203" customFormat="1" ht="12.95" customHeight="1" x14ac:dyDescent="0.2">
      <c r="A56" s="96"/>
      <c r="B56" s="96"/>
      <c r="C56" s="110"/>
      <c r="D56" s="100"/>
      <c r="E56" s="100" t="s">
        <v>94</v>
      </c>
      <c r="F56" s="100"/>
      <c r="G56" s="100"/>
      <c r="H56" s="100"/>
      <c r="I56" s="79"/>
      <c r="J56" s="192">
        <f>TRUNC(ROUND(Encargos_Benefícios!$I20*($J$31+$J$69),2),2)</f>
        <v>32.81</v>
      </c>
      <c r="K56" s="189">
        <f t="shared" si="2"/>
        <v>9.0247444685275461E-3</v>
      </c>
    </row>
    <row r="57" spans="1:11" s="203" customFormat="1" ht="12.95" customHeight="1" x14ac:dyDescent="0.2">
      <c r="A57" s="96"/>
      <c r="B57" s="96"/>
      <c r="C57" s="110"/>
      <c r="D57" s="100"/>
      <c r="E57" s="100" t="s">
        <v>95</v>
      </c>
      <c r="F57" s="100"/>
      <c r="G57" s="100"/>
      <c r="H57" s="100"/>
      <c r="I57" s="79"/>
      <c r="J57" s="192">
        <f>TRUNC(ROUND(Encargos_Benefícios!$I21*($J$31+$J$69),2),2)</f>
        <v>21.88</v>
      </c>
      <c r="K57" s="189">
        <f t="shared" si="2"/>
        <v>6.0183300509412578E-3</v>
      </c>
    </row>
    <row r="58" spans="1:11" s="203" customFormat="1" ht="12.95" customHeight="1" x14ac:dyDescent="0.2">
      <c r="A58" s="96"/>
      <c r="B58" s="96"/>
      <c r="C58" s="110"/>
      <c r="D58" s="100"/>
      <c r="E58" s="100" t="s">
        <v>96</v>
      </c>
      <c r="F58" s="100"/>
      <c r="G58" s="100"/>
      <c r="H58" s="100"/>
      <c r="I58" s="79"/>
      <c r="J58" s="192">
        <f>TRUNC(ROUND(Encargos_Benefícios!$I22*($J$31+$J$69),2),2)</f>
        <v>4.38</v>
      </c>
      <c r="K58" s="189">
        <f t="shared" si="2"/>
        <v>1.2047662533419886E-3</v>
      </c>
    </row>
    <row r="59" spans="1:11" s="203" customFormat="1" ht="12.95" customHeight="1" x14ac:dyDescent="0.2">
      <c r="A59" s="96"/>
      <c r="B59" s="96"/>
      <c r="C59" s="110"/>
      <c r="D59" s="100"/>
      <c r="E59" s="100" t="s">
        <v>97</v>
      </c>
      <c r="F59" s="100"/>
      <c r="G59" s="100"/>
      <c r="H59" s="100"/>
      <c r="I59" s="79"/>
      <c r="J59" s="192">
        <f>TRUNC(ROUND(Encargos_Benefícios!$I23*($J$31+$J$69),2),2)</f>
        <v>54.69</v>
      </c>
      <c r="K59" s="189">
        <f t="shared" si="2"/>
        <v>1.5043074519468803E-2</v>
      </c>
    </row>
    <row r="60" spans="1:11" s="203" customFormat="1" ht="12.95" customHeight="1" x14ac:dyDescent="0.2">
      <c r="A60" s="96"/>
      <c r="B60" s="96"/>
      <c r="C60" s="110"/>
      <c r="D60" s="100"/>
      <c r="E60" s="100" t="s">
        <v>98</v>
      </c>
      <c r="F60" s="100"/>
      <c r="G60" s="100"/>
      <c r="H60" s="100"/>
      <c r="I60" s="79"/>
      <c r="J60" s="192">
        <f>TRUNC(ROUND(Encargos_Benefícios!$I24*($J$31+$J$69),2),2)</f>
        <v>175.01</v>
      </c>
      <c r="K60" s="189">
        <f t="shared" si="2"/>
        <v>4.8138388583877034E-2</v>
      </c>
    </row>
    <row r="61" spans="1:11" s="203" customFormat="1" ht="12.95" customHeight="1" x14ac:dyDescent="0.2">
      <c r="A61" s="96"/>
      <c r="B61" s="96"/>
      <c r="C61" s="110"/>
      <c r="D61" s="100"/>
      <c r="E61" s="100" t="s">
        <v>99</v>
      </c>
      <c r="F61" s="100"/>
      <c r="G61" s="100"/>
      <c r="H61" s="100"/>
      <c r="I61" s="79"/>
      <c r="J61" s="192">
        <f>TRUNC(ROUND(Encargos_Benefícios!$I25*($J$31+$J$69),2),2)</f>
        <v>21.88</v>
      </c>
      <c r="K61" s="189">
        <f t="shared" si="2"/>
        <v>6.0183300509412578E-3</v>
      </c>
    </row>
    <row r="62" spans="1:11" s="203" customFormat="1" ht="12.95" customHeight="1" x14ac:dyDescent="0.2">
      <c r="A62" s="96"/>
      <c r="B62" s="96"/>
      <c r="C62" s="110"/>
      <c r="D62" s="100"/>
      <c r="E62" s="100" t="s">
        <v>100</v>
      </c>
      <c r="F62" s="100"/>
      <c r="G62" s="100"/>
      <c r="H62" s="100"/>
      <c r="I62" s="79"/>
      <c r="J62" s="192">
        <f>TRUNC(ROUND(Encargos_Benefícios!$I26*($J$31+$J$69),2),2)</f>
        <v>13.13</v>
      </c>
      <c r="K62" s="189">
        <f t="shared" si="2"/>
        <v>3.6115481521416235E-3</v>
      </c>
    </row>
    <row r="63" spans="1:11" s="203" customFormat="1" ht="14.1" customHeight="1" x14ac:dyDescent="0.2">
      <c r="A63" s="96"/>
      <c r="B63" s="96"/>
      <c r="C63" s="196"/>
      <c r="D63" s="213" t="s">
        <v>195</v>
      </c>
      <c r="E63" s="214"/>
      <c r="F63" s="214"/>
      <c r="G63" s="214"/>
      <c r="H63" s="214"/>
      <c r="I63" s="214"/>
      <c r="J63" s="215">
        <f>TRUNC(ROUND(SUM(J55:J62),2),2)</f>
        <v>323.77999999999997</v>
      </c>
      <c r="K63" s="216">
        <f>IF($J63=0,0,(SUM(K55:K62)))</f>
        <v>8.9059182079239504E-2</v>
      </c>
    </row>
    <row r="64" spans="1:11" s="203" customFormat="1" ht="12.95" customHeight="1" x14ac:dyDescent="0.2">
      <c r="A64" s="96"/>
      <c r="B64" s="217"/>
      <c r="C64" s="96"/>
      <c r="D64" s="100"/>
      <c r="E64" s="100"/>
      <c r="F64" s="100"/>
      <c r="G64" s="100"/>
      <c r="H64" s="100"/>
      <c r="I64" s="100"/>
      <c r="J64" s="100"/>
      <c r="K64" s="100"/>
    </row>
    <row r="65" spans="1:11" s="203" customFormat="1" ht="20.100000000000001" customHeight="1" x14ac:dyDescent="0.2">
      <c r="A65" s="96"/>
      <c r="B65" s="96"/>
      <c r="C65" s="210"/>
      <c r="D65" s="211" t="s">
        <v>196</v>
      </c>
      <c r="E65" s="212"/>
      <c r="F65" s="212"/>
      <c r="G65" s="212"/>
      <c r="H65" s="212"/>
      <c r="I65" s="212"/>
      <c r="J65" s="212"/>
      <c r="K65" s="212"/>
    </row>
    <row r="66" spans="1:11" s="203" customFormat="1" ht="24.95" customHeight="1" x14ac:dyDescent="0.2">
      <c r="A66" s="96"/>
      <c r="B66" s="96"/>
      <c r="C66" s="96"/>
      <c r="D66" s="96"/>
      <c r="E66" s="96"/>
      <c r="F66" s="96"/>
      <c r="G66" s="96"/>
      <c r="H66" s="96"/>
      <c r="I66" s="202"/>
      <c r="J66" s="184" t="s">
        <v>176</v>
      </c>
      <c r="K66" s="185" t="s">
        <v>177</v>
      </c>
    </row>
    <row r="67" spans="1:11" s="203" customFormat="1" ht="12.95" customHeight="1" x14ac:dyDescent="0.2">
      <c r="A67" s="96"/>
      <c r="B67" s="96"/>
      <c r="C67" s="110"/>
      <c r="D67" s="100"/>
      <c r="E67" s="100" t="s">
        <v>101</v>
      </c>
      <c r="F67" s="100"/>
      <c r="G67" s="100"/>
      <c r="H67" s="100"/>
      <c r="I67" s="79"/>
      <c r="J67" s="218">
        <f>TRUNC(ROUND(Encargos_Benefícios!$I28*$J$31,2),2)</f>
        <v>164.01</v>
      </c>
      <c r="K67" s="189">
        <f>IF($J67=0,0,(J67/J$105))</f>
        <v>4.511271991110035E-2</v>
      </c>
    </row>
    <row r="68" spans="1:11" s="203" customFormat="1" ht="12.95" customHeight="1" thickBot="1" x14ac:dyDescent="0.25">
      <c r="A68" s="96"/>
      <c r="B68" s="96"/>
      <c r="C68" s="110"/>
      <c r="D68" s="100"/>
      <c r="E68" s="100" t="s">
        <v>102</v>
      </c>
      <c r="F68" s="100"/>
      <c r="G68" s="100"/>
      <c r="H68" s="100"/>
      <c r="I68" s="79"/>
      <c r="J68" s="218">
        <f>TRUNC(ROUND(Encargos_Benefícios!$I29*$J$31,2),2)</f>
        <v>54.73</v>
      </c>
      <c r="K68" s="189">
        <f>IF($J68=0,0,(J68/J$105))</f>
        <v>1.5054076951006171E-2</v>
      </c>
    </row>
    <row r="69" spans="1:11" s="203" customFormat="1" ht="14.1" customHeight="1" thickBot="1" x14ac:dyDescent="0.25">
      <c r="A69" s="96"/>
      <c r="B69" s="96"/>
      <c r="C69" s="196"/>
      <c r="D69" s="213" t="s">
        <v>239</v>
      </c>
      <c r="E69" s="214"/>
      <c r="F69" s="214"/>
      <c r="G69" s="214"/>
      <c r="H69" s="214"/>
      <c r="I69" s="214"/>
      <c r="J69" s="215">
        <f>TRUNC(ROUND(SUM(J67,J68),2),2)</f>
        <v>218.74</v>
      </c>
      <c r="K69" s="216">
        <f>IF($J69=0,0,(SUM(K67,K68)))</f>
        <v>6.016679686210652E-2</v>
      </c>
    </row>
    <row r="70" spans="1:11" s="203" customFormat="1" ht="12.95" customHeight="1" x14ac:dyDescent="0.2">
      <c r="A70" s="96"/>
      <c r="B70" s="217"/>
      <c r="C70" s="96"/>
      <c r="D70" s="100"/>
      <c r="E70" s="100"/>
      <c r="F70" s="100"/>
      <c r="G70" s="100"/>
      <c r="H70" s="100"/>
      <c r="I70" s="100"/>
      <c r="J70" s="100"/>
      <c r="K70" s="100"/>
    </row>
    <row r="71" spans="1:11" s="203" customFormat="1" ht="20.100000000000001" customHeight="1" x14ac:dyDescent="0.2">
      <c r="A71" s="96"/>
      <c r="B71" s="96"/>
      <c r="C71" s="210"/>
      <c r="D71" s="211" t="s">
        <v>197</v>
      </c>
      <c r="E71" s="211"/>
      <c r="F71" s="211"/>
      <c r="G71" s="211"/>
      <c r="H71" s="211"/>
      <c r="I71" s="211"/>
      <c r="J71" s="211"/>
      <c r="K71" s="211"/>
    </row>
    <row r="72" spans="1:11" s="203" customFormat="1" ht="24.95" customHeight="1" x14ac:dyDescent="0.2">
      <c r="A72" s="96"/>
      <c r="B72" s="96"/>
      <c r="C72" s="96"/>
      <c r="D72" s="96"/>
      <c r="E72" s="96"/>
      <c r="F72" s="96"/>
      <c r="G72" s="96"/>
      <c r="H72" s="96"/>
      <c r="I72" s="202"/>
      <c r="J72" s="184" t="s">
        <v>176</v>
      </c>
      <c r="K72" s="185" t="s">
        <v>177</v>
      </c>
    </row>
    <row r="73" spans="1:11" s="203" customFormat="1" ht="12.95" customHeight="1" thickBot="1" x14ac:dyDescent="0.25">
      <c r="A73" s="96"/>
      <c r="B73" s="96"/>
      <c r="C73" s="110"/>
      <c r="D73" s="100"/>
      <c r="E73" s="100" t="s">
        <v>103</v>
      </c>
      <c r="F73" s="100"/>
      <c r="G73" s="100"/>
      <c r="H73" s="100"/>
      <c r="I73" s="79"/>
      <c r="J73" s="192">
        <f>TRUNC(ROUND('Base de Cálculo'!G4*SUM(J37+J63+J67+J68),2),2)</f>
        <v>0.71</v>
      </c>
      <c r="K73" s="189">
        <f>IF($J73=0,0,(J73/J$105))</f>
        <v>1.952931597883132E-4</v>
      </c>
    </row>
    <row r="74" spans="1:11" s="203" customFormat="1" ht="14.1" customHeight="1" thickBot="1" x14ac:dyDescent="0.25">
      <c r="A74" s="96"/>
      <c r="B74" s="96"/>
      <c r="C74" s="196"/>
      <c r="D74" s="213" t="s">
        <v>198</v>
      </c>
      <c r="E74" s="214"/>
      <c r="F74" s="214"/>
      <c r="G74" s="214"/>
      <c r="H74" s="214"/>
      <c r="I74" s="214"/>
      <c r="J74" s="215">
        <f>TRUNC(ROUND(SUM(J73:J73),2),2)</f>
        <v>0.71</v>
      </c>
      <c r="K74" s="216">
        <f>IF($J74=0,0,(SUM(K73:K73)))</f>
        <v>1.952931597883132E-4</v>
      </c>
    </row>
    <row r="75" spans="1:11" s="203" customFormat="1" ht="12.95" customHeight="1" x14ac:dyDescent="0.2">
      <c r="A75" s="96"/>
      <c r="B75" s="217"/>
      <c r="C75" s="137"/>
      <c r="D75" s="100"/>
      <c r="E75" s="100"/>
      <c r="F75" s="100"/>
      <c r="G75" s="100"/>
      <c r="H75" s="100"/>
      <c r="I75" s="100"/>
      <c r="J75" s="100"/>
      <c r="K75" s="100"/>
    </row>
    <row r="76" spans="1:11" s="203" customFormat="1" ht="20.100000000000001" customHeight="1" x14ac:dyDescent="0.2">
      <c r="A76" s="96"/>
      <c r="B76" s="96"/>
      <c r="C76" s="210"/>
      <c r="D76" s="211" t="s">
        <v>137</v>
      </c>
      <c r="E76" s="212"/>
      <c r="F76" s="212"/>
      <c r="G76" s="212"/>
      <c r="H76" s="212"/>
      <c r="I76" s="212"/>
      <c r="J76" s="212"/>
      <c r="K76" s="212"/>
    </row>
    <row r="77" spans="1:11" s="203" customFormat="1" ht="24.95" customHeight="1" x14ac:dyDescent="0.2">
      <c r="A77" s="96"/>
      <c r="B77" s="96"/>
      <c r="C77" s="96"/>
      <c r="D77" s="96"/>
      <c r="E77" s="96"/>
      <c r="F77" s="96"/>
      <c r="G77" s="96"/>
      <c r="H77" s="96"/>
      <c r="I77" s="202"/>
      <c r="J77" s="184" t="s">
        <v>176</v>
      </c>
      <c r="K77" s="185" t="s">
        <v>177</v>
      </c>
    </row>
    <row r="78" spans="1:11" s="203" customFormat="1" ht="12.95" customHeight="1" x14ac:dyDescent="0.2">
      <c r="A78" s="96"/>
      <c r="B78" s="96"/>
      <c r="C78" s="110"/>
      <c r="D78" s="100"/>
      <c r="E78" s="100" t="s">
        <v>138</v>
      </c>
      <c r="F78" s="100"/>
      <c r="G78" s="100"/>
      <c r="H78" s="100"/>
      <c r="I78" s="79"/>
      <c r="J78" s="192">
        <f>TRUNC(ROUND(SUM(J31,J67,J68,J60)*'Base de Cálculo'!F113/'Base de Cálculo'!F114/'Base de Cálculo'!F110*'Base de Cálculo'!F118,2),2)</f>
        <v>67.98</v>
      </c>
      <c r="K78" s="189">
        <f>IF($J78=0,0,(J78/J$105))</f>
        <v>1.8698632397759905E-2</v>
      </c>
    </row>
    <row r="79" spans="1:11" s="203" customFormat="1" ht="12.95" customHeight="1" x14ac:dyDescent="0.2">
      <c r="A79" s="96"/>
      <c r="B79" s="96"/>
      <c r="C79" s="110"/>
      <c r="D79" s="100"/>
      <c r="E79" s="73" t="s">
        <v>140</v>
      </c>
      <c r="F79" s="73"/>
      <c r="G79" s="73"/>
      <c r="H79" s="73"/>
      <c r="I79" s="73"/>
      <c r="J79" s="192">
        <f>TRUNC(ROUND(SUM(J31+J68+J67)*'Base de Cálculo'!G118,2),2)</f>
        <v>63</v>
      </c>
      <c r="K79" s="189">
        <f>IF($J79=0,0,(J79/J$105))</f>
        <v>1.7328829671357369E-2</v>
      </c>
    </row>
    <row r="80" spans="1:11" s="203" customFormat="1" ht="12.95" customHeight="1" x14ac:dyDescent="0.2">
      <c r="A80" s="96"/>
      <c r="B80" s="96"/>
      <c r="C80" s="110"/>
      <c r="D80" s="100"/>
      <c r="E80" s="100" t="s">
        <v>142</v>
      </c>
      <c r="F80" s="100"/>
      <c r="G80" s="100"/>
      <c r="H80" s="100"/>
      <c r="I80" s="79"/>
      <c r="J80" s="192">
        <f>TRUNC(ROUND(SUM(J31,J63,J41,J69)*'Base de Cálculo'!F125/'Base de Cálculo'!F126/'Base de Cálculo'!F122/30*7*'Base de Cálculo'!F130,2),2)</f>
        <v>2.16</v>
      </c>
      <c r="K80" s="189">
        <f>IF($J80=0,0,(J80/J$105))</f>
        <v>5.9413130301796697E-4</v>
      </c>
    </row>
    <row r="81" spans="1:11" s="203" customFormat="1" ht="12.95" customHeight="1" thickBot="1" x14ac:dyDescent="0.25">
      <c r="A81" s="96"/>
      <c r="B81" s="96"/>
      <c r="C81" s="110"/>
      <c r="D81" s="100"/>
      <c r="E81" s="73" t="s">
        <v>143</v>
      </c>
      <c r="F81" s="100"/>
      <c r="G81" s="100"/>
      <c r="H81" s="100"/>
      <c r="I81" s="79"/>
      <c r="J81" s="192">
        <f>TRUNC(ROUND(SUM(J31,J67,J68)*'Base de Cálculo'!G130,2),2)</f>
        <v>7</v>
      </c>
      <c r="K81" s="189">
        <f>IF($J81=0,0,(J81/J$105))</f>
        <v>1.9254255190397078E-3</v>
      </c>
    </row>
    <row r="82" spans="1:11" s="203" customFormat="1" ht="14.1" customHeight="1" x14ac:dyDescent="0.2">
      <c r="A82" s="96"/>
      <c r="B82" s="96"/>
      <c r="C82" s="196"/>
      <c r="D82" s="213" t="s">
        <v>199</v>
      </c>
      <c r="E82" s="214"/>
      <c r="F82" s="214"/>
      <c r="G82" s="214"/>
      <c r="H82" s="214"/>
      <c r="I82" s="214"/>
      <c r="J82" s="215">
        <f>TRUNC(ROUND(SUM(J78:J81),2),2)</f>
        <v>140.13999999999999</v>
      </c>
      <c r="K82" s="216">
        <f>IF($J82=0,0,(SUM(K78:IV81)))</f>
        <v>3.8547018891174956E-2</v>
      </c>
    </row>
    <row r="83" spans="1:11" s="203" customFormat="1" ht="12.95" customHeight="1" x14ac:dyDescent="0.2">
      <c r="A83" s="96"/>
      <c r="B83" s="217"/>
      <c r="C83" s="137"/>
      <c r="D83" s="100"/>
      <c r="E83" s="100"/>
      <c r="F83" s="100"/>
      <c r="G83" s="100"/>
      <c r="H83" s="100"/>
      <c r="I83" s="100"/>
      <c r="J83" s="100"/>
      <c r="K83" s="100"/>
    </row>
    <row r="84" spans="1:11" s="203" customFormat="1" ht="20.100000000000001" customHeight="1" x14ac:dyDescent="0.2">
      <c r="A84" s="96"/>
      <c r="B84" s="96"/>
      <c r="C84" s="210"/>
      <c r="D84" s="211" t="s">
        <v>200</v>
      </c>
      <c r="E84" s="212"/>
      <c r="F84" s="212"/>
      <c r="G84" s="212"/>
      <c r="H84" s="212"/>
      <c r="I84" s="212"/>
      <c r="J84" s="212"/>
      <c r="K84" s="212"/>
    </row>
    <row r="85" spans="1:11" s="203" customFormat="1" ht="24.95" customHeight="1" x14ac:dyDescent="0.2">
      <c r="A85" s="96"/>
      <c r="B85" s="96"/>
      <c r="C85" s="96"/>
      <c r="D85" s="96"/>
      <c r="E85" s="96"/>
      <c r="F85" s="96"/>
      <c r="G85" s="96"/>
      <c r="H85" s="96"/>
      <c r="I85" s="202"/>
      <c r="J85" s="184" t="s">
        <v>176</v>
      </c>
      <c r="K85" s="185" t="s">
        <v>177</v>
      </c>
    </row>
    <row r="86" spans="1:11" s="203" customFormat="1" ht="12.95" customHeight="1" x14ac:dyDescent="0.2">
      <c r="A86" s="96"/>
      <c r="B86" s="96"/>
      <c r="C86" s="110"/>
      <c r="D86" s="100"/>
      <c r="E86" s="100" t="s">
        <v>134</v>
      </c>
      <c r="F86" s="100"/>
      <c r="G86" s="100"/>
      <c r="H86" s="100"/>
      <c r="I86" s="79"/>
      <c r="J86" s="192">
        <f>TRUNC(ROUND((SUM(J31,J41,J45,J63,J74,J82,J69)*'Base de Cálculo'!F103)/'Base de Cálculo'!G103,2),2)</f>
        <v>325.85000000000002</v>
      </c>
      <c r="K86" s="189">
        <f>IF($J86=0,0,(J86/J$105))</f>
        <v>8.9628557911298409E-2</v>
      </c>
    </row>
    <row r="87" spans="1:11" s="203" customFormat="1" ht="12.95" customHeight="1" thickBot="1" x14ac:dyDescent="0.25">
      <c r="A87" s="96"/>
      <c r="B87" s="96"/>
      <c r="C87" s="110"/>
      <c r="D87" s="100"/>
      <c r="E87" s="73" t="s">
        <v>136</v>
      </c>
      <c r="F87" s="73"/>
      <c r="G87" s="73"/>
      <c r="H87" s="73"/>
      <c r="I87" s="73"/>
      <c r="J87" s="192">
        <f>TRUNC(ROUND((SUM(J31,J41,J45,J63,J74,J82,J69)*'Base de Cálculo'!F104)/'Base de Cálculo'!G104,2),2)</f>
        <v>79.41</v>
      </c>
      <c r="K87" s="189">
        <f>IF($J87=0,0,(J87/J$105))</f>
        <v>2.1842577209563313E-2</v>
      </c>
    </row>
    <row r="88" spans="1:11" s="203" customFormat="1" ht="14.1" customHeight="1" thickBot="1" x14ac:dyDescent="0.25">
      <c r="A88" s="96"/>
      <c r="B88" s="96"/>
      <c r="C88" s="196"/>
      <c r="D88" s="213" t="s">
        <v>201</v>
      </c>
      <c r="E88" s="214"/>
      <c r="F88" s="214"/>
      <c r="G88" s="214"/>
      <c r="H88" s="214"/>
      <c r="I88" s="214"/>
      <c r="J88" s="215">
        <f>TRUNC(ROUND(SUM(J86:J87),2),2)</f>
        <v>405.26</v>
      </c>
      <c r="K88" s="216">
        <f>IF($J88=0,0,(SUM(K86:K87)))</f>
        <v>0.11147113512086172</v>
      </c>
    </row>
    <row r="89" spans="1:11" s="203" customFormat="1" ht="12.95" customHeight="1" x14ac:dyDescent="0.2">
      <c r="A89" s="96"/>
      <c r="B89" s="217"/>
      <c r="C89" s="137"/>
      <c r="D89" s="100"/>
      <c r="E89" s="100"/>
      <c r="F89" s="100"/>
      <c r="G89" s="100"/>
      <c r="H89" s="100"/>
      <c r="I89" s="100"/>
      <c r="J89" s="100"/>
      <c r="K89" s="100"/>
    </row>
    <row r="90" spans="1:11" s="203" customFormat="1" ht="20.100000000000001" customHeight="1" x14ac:dyDescent="0.2">
      <c r="A90" s="96"/>
      <c r="B90" s="96"/>
      <c r="C90" s="210"/>
      <c r="D90" s="211" t="s">
        <v>202</v>
      </c>
      <c r="E90" s="212"/>
      <c r="F90" s="212"/>
      <c r="G90" s="212"/>
      <c r="H90" s="212"/>
      <c r="I90" s="212"/>
      <c r="J90" s="212"/>
      <c r="K90" s="212"/>
    </row>
    <row r="91" spans="1:11" s="203" customFormat="1" ht="24.95" customHeight="1" x14ac:dyDescent="0.2">
      <c r="A91" s="96"/>
      <c r="B91" s="96"/>
      <c r="C91" s="96"/>
      <c r="D91" s="96"/>
      <c r="E91" s="96"/>
      <c r="F91" s="96"/>
      <c r="G91" s="96"/>
      <c r="H91" s="96"/>
      <c r="I91" s="202"/>
      <c r="J91" s="184" t="s">
        <v>176</v>
      </c>
      <c r="K91" s="185" t="s">
        <v>177</v>
      </c>
    </row>
    <row r="92" spans="1:11" s="203" customFormat="1" ht="12.95" customHeight="1" x14ac:dyDescent="0.2">
      <c r="A92" s="96"/>
      <c r="B92" s="96"/>
      <c r="C92" s="110"/>
      <c r="D92" s="100"/>
      <c r="E92" s="100" t="s">
        <v>203</v>
      </c>
      <c r="F92" s="100"/>
      <c r="G92" s="100"/>
      <c r="H92" s="100"/>
      <c r="I92" s="79"/>
      <c r="J92" s="218">
        <f>J63</f>
        <v>323.77999999999997</v>
      </c>
      <c r="K92" s="189">
        <f>IF($J92=0,0,(J92/J$105))</f>
        <v>8.9059182079239504E-2</v>
      </c>
    </row>
    <row r="93" spans="1:11" s="203" customFormat="1" ht="12.95" customHeight="1" x14ac:dyDescent="0.2">
      <c r="A93" s="96"/>
      <c r="B93" s="96"/>
      <c r="C93" s="110"/>
      <c r="D93" s="100"/>
      <c r="E93" s="100" t="s">
        <v>204</v>
      </c>
      <c r="F93" s="100"/>
      <c r="G93" s="100"/>
      <c r="H93" s="100"/>
      <c r="I93" s="79"/>
      <c r="J93" s="192">
        <f>J69</f>
        <v>218.74</v>
      </c>
      <c r="K93" s="189">
        <f>IF($J93=0,0,(J93/J$105))</f>
        <v>6.0166796862106527E-2</v>
      </c>
    </row>
    <row r="94" spans="1:11" s="203" customFormat="1" ht="12.95" customHeight="1" x14ac:dyDescent="0.2">
      <c r="A94" s="96"/>
      <c r="B94" s="96"/>
      <c r="C94" s="110"/>
      <c r="D94" s="100"/>
      <c r="E94" s="100" t="s">
        <v>103</v>
      </c>
      <c r="F94" s="100"/>
      <c r="G94" s="100"/>
      <c r="H94" s="100"/>
      <c r="I94" s="79"/>
      <c r="J94" s="192">
        <f>J74</f>
        <v>0.71</v>
      </c>
      <c r="K94" s="189">
        <f>IF($J94=0,0,(J94/J$105))</f>
        <v>1.952931597883132E-4</v>
      </c>
    </row>
    <row r="95" spans="1:11" s="203" customFormat="1" ht="12.95" customHeight="1" x14ac:dyDescent="0.2">
      <c r="A95" s="96"/>
      <c r="B95" s="96"/>
      <c r="C95" s="110"/>
      <c r="D95" s="100"/>
      <c r="E95" s="100" t="s">
        <v>144</v>
      </c>
      <c r="F95" s="100"/>
      <c r="G95" s="100"/>
      <c r="H95" s="100"/>
      <c r="I95" s="79"/>
      <c r="J95" s="192">
        <f>J82</f>
        <v>140.13999999999999</v>
      </c>
      <c r="K95" s="189">
        <f>IF($J95=0,0,(J95/J$105))</f>
        <v>3.8547018891174949E-2</v>
      </c>
    </row>
    <row r="96" spans="1:11" s="203" customFormat="1" ht="12.95" customHeight="1" thickBot="1" x14ac:dyDescent="0.25">
      <c r="A96" s="96"/>
      <c r="B96" s="96"/>
      <c r="C96" s="110"/>
      <c r="D96" s="100"/>
      <c r="E96" s="100" t="s">
        <v>205</v>
      </c>
      <c r="F96" s="100"/>
      <c r="G96" s="100"/>
      <c r="H96" s="100"/>
      <c r="I96" s="79"/>
      <c r="J96" s="192">
        <f>J88</f>
        <v>405.26</v>
      </c>
      <c r="K96" s="189">
        <f>IF($J96=0,0,(J96/J$105))</f>
        <v>0.11147113512086171</v>
      </c>
    </row>
    <row r="97" spans="1:11" s="203" customFormat="1" ht="14.1" customHeight="1" thickBot="1" x14ac:dyDescent="0.25">
      <c r="A97" s="96"/>
      <c r="B97" s="96"/>
      <c r="C97" s="196"/>
      <c r="D97" s="213" t="s">
        <v>206</v>
      </c>
      <c r="E97" s="214"/>
      <c r="F97" s="214"/>
      <c r="G97" s="214"/>
      <c r="H97" s="214"/>
      <c r="I97" s="214"/>
      <c r="J97" s="215">
        <f>TRUNC(ROUND(SUM(J92:J96),2),2)</f>
        <v>1088.6300000000001</v>
      </c>
      <c r="K97" s="216">
        <f>IF($J97=0,0,(SUM(K92:K96)))</f>
        <v>0.29943942611317098</v>
      </c>
    </row>
    <row r="98" spans="1:11" s="203" customFormat="1" ht="12.95" customHeight="1" x14ac:dyDescent="0.2">
      <c r="A98" s="96"/>
      <c r="B98" s="217"/>
      <c r="C98" s="137"/>
      <c r="D98" s="207"/>
      <c r="E98" s="207"/>
      <c r="F98" s="207"/>
      <c r="G98" s="207"/>
      <c r="H98" s="207"/>
      <c r="I98" s="208"/>
      <c r="J98" s="209"/>
      <c r="K98" s="209"/>
    </row>
    <row r="99" spans="1:11" s="96" customFormat="1" ht="14.1" customHeight="1" x14ac:dyDescent="0.2">
      <c r="B99" s="181"/>
      <c r="C99" s="182" t="s">
        <v>207</v>
      </c>
      <c r="D99" s="70"/>
      <c r="E99" s="70"/>
      <c r="F99" s="70"/>
      <c r="G99" s="70"/>
      <c r="H99" s="70"/>
      <c r="I99" s="70"/>
      <c r="J99" s="219"/>
      <c r="K99" s="219"/>
    </row>
    <row r="100" spans="1:11" s="96" customFormat="1" ht="24.95" customHeight="1" x14ac:dyDescent="0.2">
      <c r="C100" s="138"/>
      <c r="D100" s="71"/>
      <c r="E100" s="71"/>
      <c r="F100" s="71"/>
      <c r="G100" s="71"/>
      <c r="H100" s="71"/>
      <c r="I100" s="71"/>
      <c r="J100" s="184" t="s">
        <v>176</v>
      </c>
      <c r="K100" s="185" t="s">
        <v>177</v>
      </c>
    </row>
    <row r="101" spans="1:11" s="203" customFormat="1" ht="12.95" customHeight="1" x14ac:dyDescent="0.2">
      <c r="A101" s="96"/>
      <c r="B101" s="96"/>
      <c r="C101" s="110"/>
      <c r="D101" s="100" t="s">
        <v>183</v>
      </c>
      <c r="E101" s="100"/>
      <c r="F101" s="100"/>
      <c r="G101" s="100"/>
      <c r="H101" s="100"/>
      <c r="I101" s="79"/>
      <c r="J101" s="192">
        <f>J31</f>
        <v>1968.86</v>
      </c>
      <c r="K101" s="189">
        <f>IF($J101=0,0,(J101/J$105))</f>
        <v>0.54155618391664551</v>
      </c>
    </row>
    <row r="102" spans="1:11" s="203" customFormat="1" ht="12.95" customHeight="1" x14ac:dyDescent="0.2">
      <c r="A102" s="96"/>
      <c r="B102" s="96"/>
      <c r="C102" s="110"/>
      <c r="D102" s="100" t="s">
        <v>189</v>
      </c>
      <c r="E102" s="100"/>
      <c r="F102" s="100"/>
      <c r="G102" s="100"/>
      <c r="H102" s="100"/>
      <c r="I102" s="79"/>
      <c r="J102" s="192">
        <f>J41</f>
        <v>457.91</v>
      </c>
      <c r="K102" s="189">
        <f>IF($J102=0,0,(J102/J$105))</f>
        <v>0.12595308563192467</v>
      </c>
    </row>
    <row r="103" spans="1:11" s="203" customFormat="1" ht="12.95" customHeight="1" x14ac:dyDescent="0.2">
      <c r="A103" s="96"/>
      <c r="B103" s="96"/>
      <c r="C103" s="110"/>
      <c r="D103" s="100" t="s">
        <v>192</v>
      </c>
      <c r="E103" s="100"/>
      <c r="F103" s="100"/>
      <c r="G103" s="100"/>
      <c r="H103" s="100"/>
      <c r="I103" s="79"/>
      <c r="J103" s="192">
        <f>J50</f>
        <v>120.16</v>
      </c>
      <c r="K103" s="189">
        <f>IF($J103=0,0,(J103/J$105))</f>
        <v>3.3051304338258758E-2</v>
      </c>
    </row>
    <row r="104" spans="1:11" s="203" customFormat="1" ht="12.95" customHeight="1" x14ac:dyDescent="0.2">
      <c r="A104" s="96"/>
      <c r="B104" s="96"/>
      <c r="C104" s="110"/>
      <c r="D104" s="100" t="s">
        <v>206</v>
      </c>
      <c r="E104" s="100"/>
      <c r="F104" s="100"/>
      <c r="G104" s="100"/>
      <c r="H104" s="100"/>
      <c r="I104" s="79"/>
      <c r="J104" s="192">
        <f>J97</f>
        <v>1088.6300000000001</v>
      </c>
      <c r="K104" s="189">
        <f>IF($J104=0,0,(J104/J$105))</f>
        <v>0.29943942611317104</v>
      </c>
    </row>
    <row r="105" spans="1:11" s="203" customFormat="1" ht="14.1" customHeight="1" x14ac:dyDescent="0.2">
      <c r="A105" s="96"/>
      <c r="B105" s="96"/>
      <c r="C105" s="196"/>
      <c r="D105" s="197" t="s">
        <v>208</v>
      </c>
      <c r="E105" s="166"/>
      <c r="F105" s="166"/>
      <c r="G105" s="166"/>
      <c r="H105" s="166"/>
      <c r="I105" s="166"/>
      <c r="J105" s="198">
        <f>TRUNC(ROUND(SUM(J101:J104),2),2)</f>
        <v>3635.56</v>
      </c>
      <c r="K105" s="199">
        <f>SUM(K101:K104)</f>
        <v>1</v>
      </c>
    </row>
    <row r="106" spans="1:11" s="203" customFormat="1" ht="12.95" customHeight="1" x14ac:dyDescent="0.2">
      <c r="A106" s="96"/>
      <c r="B106" s="217"/>
      <c r="C106" s="137"/>
      <c r="D106" s="207"/>
      <c r="E106" s="207"/>
      <c r="F106" s="207"/>
      <c r="G106" s="207"/>
      <c r="H106" s="207"/>
      <c r="I106" s="208"/>
      <c r="J106" s="209"/>
      <c r="K106" s="209"/>
    </row>
    <row r="107" spans="1:11" s="96" customFormat="1" ht="14.1" customHeight="1" x14ac:dyDescent="0.2">
      <c r="B107" s="181"/>
      <c r="C107" s="182" t="s">
        <v>209</v>
      </c>
      <c r="D107" s="70"/>
      <c r="E107" s="70"/>
      <c r="F107" s="70"/>
      <c r="G107" s="70"/>
      <c r="H107" s="70"/>
      <c r="I107" s="70"/>
      <c r="J107" s="204"/>
      <c r="K107" s="205"/>
    </row>
    <row r="108" spans="1:11" s="96" customFormat="1" ht="24.95" customHeight="1" x14ac:dyDescent="0.2">
      <c r="C108" s="138"/>
      <c r="D108" s="71"/>
      <c r="E108" s="71"/>
      <c r="F108" s="71"/>
      <c r="G108" s="71"/>
      <c r="H108" s="71"/>
      <c r="I108" s="71"/>
      <c r="J108" s="184" t="s">
        <v>176</v>
      </c>
      <c r="K108" s="185" t="s">
        <v>177</v>
      </c>
    </row>
    <row r="109" spans="1:11" s="203" customFormat="1" ht="12.95" customHeight="1" x14ac:dyDescent="0.2">
      <c r="A109" s="96"/>
      <c r="B109" s="96"/>
      <c r="C109" s="110"/>
      <c r="D109" s="220" t="s">
        <v>208</v>
      </c>
      <c r="E109" s="220"/>
      <c r="F109" s="220"/>
      <c r="G109" s="220"/>
      <c r="H109" s="220"/>
      <c r="I109" s="221"/>
      <c r="J109" s="222">
        <f>J105</f>
        <v>3635.56</v>
      </c>
      <c r="K109" s="223">
        <f>IF($J109=0,0,(J109/J$124))</f>
        <v>0.78959007624615818</v>
      </c>
    </row>
    <row r="110" spans="1:11" s="203" customFormat="1" ht="12.95" customHeight="1" x14ac:dyDescent="0.2">
      <c r="A110" s="96"/>
      <c r="B110" s="96"/>
      <c r="C110" s="110"/>
      <c r="D110" s="100" t="s">
        <v>210</v>
      </c>
      <c r="E110" s="100"/>
      <c r="F110" s="100"/>
      <c r="G110" s="100"/>
      <c r="H110" s="100"/>
      <c r="I110" s="224">
        <f>'Supervisor TRT'!I110</f>
        <v>0.03</v>
      </c>
      <c r="J110" s="192">
        <f>TRUNC(ROUND($I110*$J$109,2),2)</f>
        <v>109.07</v>
      </c>
      <c r="K110" s="225">
        <f>IF($J110=0,0,(J110/J$124))</f>
        <v>2.3688397280245264E-2</v>
      </c>
    </row>
    <row r="111" spans="1:11" s="203" customFormat="1" ht="12.95" customHeight="1" x14ac:dyDescent="0.2">
      <c r="A111" s="96"/>
      <c r="B111" s="96"/>
      <c r="C111" s="110"/>
      <c r="D111" s="100" t="s">
        <v>211</v>
      </c>
      <c r="E111" s="100"/>
      <c r="F111" s="100"/>
      <c r="G111" s="100"/>
      <c r="H111" s="100"/>
      <c r="I111" s="224">
        <f>'Supervisor TRT'!I111</f>
        <v>6.7900000000000002E-2</v>
      </c>
      <c r="J111" s="192">
        <f>TRUNC(ROUND($I111*($J$109+$J$110),2),2)</f>
        <v>254.26</v>
      </c>
      <c r="K111" s="225">
        <f>IF($J111=0,0,(J111/J$124))</f>
        <v>5.5221526473596419E-2</v>
      </c>
    </row>
    <row r="112" spans="1:11" s="203" customFormat="1" ht="12.95" customHeight="1" x14ac:dyDescent="0.2">
      <c r="A112" s="96"/>
      <c r="B112" s="96"/>
      <c r="C112" s="121"/>
      <c r="D112" s="100" t="s">
        <v>212</v>
      </c>
      <c r="E112" s="100"/>
      <c r="F112" s="100"/>
      <c r="G112" s="100"/>
      <c r="H112" s="100"/>
      <c r="I112" s="79"/>
      <c r="J112" s="90"/>
      <c r="K112" s="226"/>
    </row>
    <row r="113" spans="1:11" s="203" customFormat="1" ht="12.95" customHeight="1" x14ac:dyDescent="0.2">
      <c r="A113" s="96"/>
      <c r="B113" s="96"/>
      <c r="C113" s="121"/>
      <c r="D113" s="100"/>
      <c r="E113" s="100" t="s">
        <v>307</v>
      </c>
      <c r="F113" s="100"/>
      <c r="G113" s="100"/>
      <c r="H113" s="100"/>
      <c r="I113" s="227">
        <f>SUM(I114:I117)</f>
        <v>8.1499999999999989E-2</v>
      </c>
      <c r="J113" s="228">
        <f>SUM(J114:J117)</f>
        <v>375.25565342544621</v>
      </c>
      <c r="K113" s="225">
        <f>IF($J113=0,0,(J113/J$124))</f>
        <v>8.1500000000000003E-2</v>
      </c>
    </row>
    <row r="114" spans="1:11" s="203" customFormat="1" ht="12.95" customHeight="1" x14ac:dyDescent="0.2">
      <c r="A114" s="96"/>
      <c r="B114" s="96"/>
      <c r="C114" s="96"/>
      <c r="D114" s="229"/>
      <c r="E114" s="229"/>
      <c r="F114" s="230"/>
      <c r="G114" s="230"/>
      <c r="H114" s="231" t="s">
        <v>10</v>
      </c>
      <c r="I114" s="308">
        <f>'Dados Proponente'!I25</f>
        <v>0.03</v>
      </c>
      <c r="J114" s="192">
        <f>$I114*J$124</f>
        <v>138.13091537132988</v>
      </c>
      <c r="K114" s="225">
        <f>IF($J114=0,0,(J114/J$124))</f>
        <v>2.9999999999999995E-2</v>
      </c>
    </row>
    <row r="115" spans="1:11" s="203" customFormat="1" ht="12.95" customHeight="1" thickBot="1" x14ac:dyDescent="0.25">
      <c r="A115" s="96"/>
      <c r="B115" s="96"/>
      <c r="C115" s="96"/>
      <c r="D115" s="232"/>
      <c r="E115" s="232"/>
      <c r="F115" s="233"/>
      <c r="G115" s="233"/>
      <c r="H115" s="230" t="s">
        <v>8</v>
      </c>
      <c r="I115" s="308">
        <f>'Dados Proponente'!I24</f>
        <v>6.4999999999999997E-3</v>
      </c>
      <c r="J115" s="192">
        <f>$I115*J$124</f>
        <v>29.928364997121477</v>
      </c>
      <c r="K115" s="225">
        <f>IF($J115=0,0,(J115/J$124))</f>
        <v>6.4999999999999997E-3</v>
      </c>
    </row>
    <row r="116" spans="1:11" s="203" customFormat="1" ht="12.95" customHeight="1" thickBot="1" x14ac:dyDescent="0.25">
      <c r="A116" s="96"/>
      <c r="B116" s="96"/>
      <c r="C116" s="96"/>
      <c r="D116" s="232"/>
      <c r="E116" s="232"/>
      <c r="F116" s="234"/>
      <c r="G116" s="234"/>
      <c r="H116" s="231" t="s">
        <v>213</v>
      </c>
      <c r="I116" s="224">
        <v>0</v>
      </c>
      <c r="J116" s="192">
        <f>$I116*J$124</f>
        <v>0</v>
      </c>
      <c r="K116" s="225">
        <f>IF($J116=0,0,(J116/J$124))</f>
        <v>0</v>
      </c>
    </row>
    <row r="117" spans="1:11" s="203" customFormat="1" ht="12.95" customHeight="1" x14ac:dyDescent="0.2">
      <c r="A117" s="96"/>
      <c r="B117" s="96"/>
      <c r="C117" s="96"/>
      <c r="D117" s="232"/>
      <c r="E117" s="232"/>
      <c r="F117" s="234"/>
      <c r="G117" s="234"/>
      <c r="H117" s="231" t="s">
        <v>93</v>
      </c>
      <c r="I117" s="308">
        <f>IF(Apoio!$E$12=1,4.5%,0%)</f>
        <v>4.4999999999999998E-2</v>
      </c>
      <c r="J117" s="192">
        <f>$I117*J$124</f>
        <v>207.19637305699484</v>
      </c>
      <c r="K117" s="225">
        <f>IF($J117=0,0,(J117/J$124))</f>
        <v>4.4999999999999998E-2</v>
      </c>
    </row>
    <row r="118" spans="1:11" s="203" customFormat="1" ht="12.95" customHeight="1" thickBot="1" x14ac:dyDescent="0.25">
      <c r="A118" s="96"/>
      <c r="B118" s="96"/>
      <c r="C118" s="96"/>
      <c r="D118" s="96"/>
      <c r="E118" s="235" t="s">
        <v>214</v>
      </c>
      <c r="F118" s="236" t="s">
        <v>215</v>
      </c>
      <c r="G118" s="236"/>
      <c r="H118" s="96"/>
      <c r="I118" s="96"/>
      <c r="J118" s="90"/>
      <c r="K118" s="226"/>
    </row>
    <row r="119" spans="1:11" s="203" customFormat="1" ht="12.95" customHeight="1" x14ac:dyDescent="0.2">
      <c r="A119" s="96"/>
      <c r="B119" s="96"/>
      <c r="C119" s="121"/>
      <c r="D119" s="100"/>
      <c r="E119" s="100" t="s">
        <v>216</v>
      </c>
      <c r="F119" s="100"/>
      <c r="G119" s="490"/>
      <c r="H119" s="490"/>
      <c r="I119" s="224">
        <v>0</v>
      </c>
      <c r="J119" s="192">
        <f>$I119*J$124</f>
        <v>0</v>
      </c>
      <c r="K119" s="225">
        <f>IF($J119=0,0,(J119/J$124))</f>
        <v>0</v>
      </c>
    </row>
    <row r="120" spans="1:11" s="314" customFormat="1" ht="12.95" customHeight="1" thickBot="1" x14ac:dyDescent="0.25">
      <c r="A120" s="96"/>
      <c r="B120" s="96"/>
      <c r="C120" s="121"/>
      <c r="D120" s="100"/>
      <c r="E120" s="100" t="s">
        <v>308</v>
      </c>
      <c r="F120" s="100"/>
      <c r="G120" s="100"/>
      <c r="H120" s="100"/>
      <c r="I120" s="237"/>
      <c r="J120" s="312"/>
      <c r="K120" s="313"/>
    </row>
    <row r="121" spans="1:11" s="203" customFormat="1" ht="12.95" customHeight="1" x14ac:dyDescent="0.2">
      <c r="A121" s="96"/>
      <c r="B121" s="96"/>
      <c r="C121" s="126"/>
      <c r="D121" s="238"/>
      <c r="E121" s="239"/>
      <c r="F121" s="230"/>
      <c r="G121" s="230"/>
      <c r="H121" s="231" t="s">
        <v>217</v>
      </c>
      <c r="I121" s="308">
        <f>'Dados Proponente'!I28</f>
        <v>0.05</v>
      </c>
      <c r="J121" s="192">
        <f>I121*J$124</f>
        <v>230.21819228554983</v>
      </c>
      <c r="K121" s="225">
        <f>IF($J121=0,0,(J121/J$124))</f>
        <v>0.05</v>
      </c>
    </row>
    <row r="122" spans="1:11" s="203" customFormat="1" ht="12.95" customHeight="1" thickBot="1" x14ac:dyDescent="0.25">
      <c r="A122" s="96"/>
      <c r="B122" s="96"/>
      <c r="C122" s="126"/>
      <c r="D122" s="238"/>
      <c r="E122" s="239"/>
      <c r="F122" s="234"/>
      <c r="G122" s="234"/>
      <c r="H122" s="234"/>
      <c r="I122" s="240"/>
      <c r="J122" s="90"/>
      <c r="K122" s="226"/>
    </row>
    <row r="123" spans="1:11" s="203" customFormat="1" ht="12.95" customHeight="1" thickBot="1" x14ac:dyDescent="0.25">
      <c r="A123" s="96"/>
      <c r="B123" s="96"/>
      <c r="C123" s="110"/>
      <c r="D123" s="100"/>
      <c r="E123" s="100" t="s">
        <v>218</v>
      </c>
      <c r="F123" s="100"/>
      <c r="G123" s="486"/>
      <c r="H123" s="486"/>
      <c r="I123" s="224">
        <v>0</v>
      </c>
      <c r="J123" s="192">
        <f>$I123*J$124</f>
        <v>0</v>
      </c>
      <c r="K123" s="225">
        <f>IF($J123=0,0,(J123/J$124))</f>
        <v>0</v>
      </c>
    </row>
    <row r="124" spans="1:11" s="203" customFormat="1" ht="14.1" customHeight="1" thickBot="1" x14ac:dyDescent="0.25">
      <c r="A124" s="96"/>
      <c r="B124" s="96"/>
      <c r="C124" s="196"/>
      <c r="D124" s="197" t="s">
        <v>219</v>
      </c>
      <c r="E124" s="166"/>
      <c r="F124" s="166"/>
      <c r="G124" s="166"/>
      <c r="H124" s="166"/>
      <c r="I124" s="166"/>
      <c r="J124" s="241">
        <f>SUM(J109:J111)/(1-I113-I121)</f>
        <v>4604.3638457109964</v>
      </c>
      <c r="K124" s="199">
        <f>SUM(K109:K113)+K119+K121+K123</f>
        <v>1</v>
      </c>
    </row>
    <row r="125" spans="1:11" s="203" customFormat="1" ht="12.95" customHeight="1" x14ac:dyDescent="0.2">
      <c r="A125" s="96"/>
      <c r="B125" s="217"/>
      <c r="C125" s="137"/>
      <c r="D125" s="207"/>
      <c r="E125" s="207"/>
      <c r="F125" s="207"/>
      <c r="G125" s="207"/>
      <c r="H125" s="207"/>
      <c r="I125" s="208"/>
      <c r="J125" s="209"/>
      <c r="K125" s="209"/>
    </row>
    <row r="126" spans="1:11" s="96" customFormat="1" ht="14.1" customHeight="1" x14ac:dyDescent="0.2">
      <c r="B126" s="181"/>
      <c r="C126" s="182" t="s">
        <v>220</v>
      </c>
      <c r="D126" s="70"/>
      <c r="E126" s="70"/>
      <c r="F126" s="70"/>
      <c r="G126" s="70"/>
      <c r="H126" s="70"/>
      <c r="I126" s="70"/>
      <c r="J126" s="204"/>
      <c r="K126" s="205"/>
    </row>
    <row r="127" spans="1:11" s="96" customFormat="1" ht="24.95" customHeight="1" x14ac:dyDescent="0.2">
      <c r="C127" s="138"/>
      <c r="D127" s="71"/>
      <c r="E127" s="71"/>
      <c r="F127" s="71"/>
      <c r="G127" s="71"/>
      <c r="H127" s="71"/>
      <c r="I127" s="71"/>
      <c r="J127" s="184" t="s">
        <v>221</v>
      </c>
      <c r="K127" s="185" t="s">
        <v>222</v>
      </c>
    </row>
    <row r="128" spans="1:11" s="203" customFormat="1" ht="12.95" customHeight="1" x14ac:dyDescent="0.2">
      <c r="A128" s="96"/>
      <c r="B128" s="96"/>
      <c r="C128" s="110"/>
      <c r="D128" s="100" t="s">
        <v>223</v>
      </c>
      <c r="E128" s="100"/>
      <c r="F128" s="100"/>
      <c r="G128" s="100"/>
      <c r="H128" s="100"/>
      <c r="I128" s="79"/>
      <c r="J128" s="188">
        <f>TRUNC(ROUND(J31,2),2)</f>
        <v>1968.86</v>
      </c>
      <c r="K128" s="188">
        <f>IF($J128=0,0,($J128*$J$15))</f>
        <v>3937.72</v>
      </c>
    </row>
    <row r="129" spans="1:11" s="203" customFormat="1" ht="12.95" customHeight="1" x14ac:dyDescent="0.2">
      <c r="A129" s="96"/>
      <c r="B129" s="96"/>
      <c r="C129" s="110"/>
      <c r="D129" s="100" t="s">
        <v>224</v>
      </c>
      <c r="E129" s="100"/>
      <c r="F129" s="100"/>
      <c r="G129" s="100"/>
      <c r="H129" s="100"/>
      <c r="I129" s="79"/>
      <c r="J129" s="188">
        <f>TRUNC(ROUND(J41,2),2)</f>
        <v>457.91</v>
      </c>
      <c r="K129" s="188">
        <f>IF($J129=0,0,($J129*$J$15))</f>
        <v>915.82</v>
      </c>
    </row>
    <row r="130" spans="1:11" s="203" customFormat="1" ht="12.95" customHeight="1" x14ac:dyDescent="0.2">
      <c r="A130" s="96"/>
      <c r="B130" s="96"/>
      <c r="C130" s="110"/>
      <c r="D130" s="100" t="s">
        <v>225</v>
      </c>
      <c r="E130" s="100"/>
      <c r="F130" s="100"/>
      <c r="G130" s="100"/>
      <c r="H130" s="100"/>
      <c r="I130" s="79"/>
      <c r="J130" s="188">
        <f>TRUNC(ROUND(J50,2),2)</f>
        <v>120.16</v>
      </c>
      <c r="K130" s="188">
        <f>IF($J130=0,0,($J130*$J$15))</f>
        <v>240.32</v>
      </c>
    </row>
    <row r="131" spans="1:11" s="203" customFormat="1" ht="12.95" customHeight="1" x14ac:dyDescent="0.2">
      <c r="A131" s="96"/>
      <c r="B131" s="96"/>
      <c r="C131" s="110"/>
      <c r="D131" s="100" t="s">
        <v>226</v>
      </c>
      <c r="E131" s="100"/>
      <c r="F131" s="100"/>
      <c r="G131" s="100"/>
      <c r="H131" s="100"/>
      <c r="I131" s="79"/>
      <c r="J131" s="188">
        <f>TRUNC(ROUND(J97,2),2)</f>
        <v>1088.6300000000001</v>
      </c>
      <c r="K131" s="188">
        <f>IF($J131=0,0,($J131*$J$15))</f>
        <v>2177.2600000000002</v>
      </c>
    </row>
    <row r="132" spans="1:11" s="203" customFormat="1" ht="12.95" customHeight="1" x14ac:dyDescent="0.2">
      <c r="A132" s="96"/>
      <c r="B132" s="96"/>
      <c r="C132" s="110"/>
      <c r="D132" s="100" t="s">
        <v>227</v>
      </c>
      <c r="E132" s="100"/>
      <c r="F132" s="100"/>
      <c r="G132" s="100"/>
      <c r="H132" s="100"/>
      <c r="I132" s="79"/>
      <c r="J132" s="188">
        <f>TRUNC(ROUND(SUM(J110,J111,J113,J119,J121,J123),2),2)</f>
        <v>968.8</v>
      </c>
      <c r="K132" s="188">
        <f>IF($J132=0,0,($J132*$J$15))</f>
        <v>1937.6</v>
      </c>
    </row>
    <row r="133" spans="1:11" s="203" customFormat="1" ht="14.1" customHeight="1" thickBot="1" x14ac:dyDescent="0.25">
      <c r="A133" s="96"/>
      <c r="B133" s="96"/>
      <c r="C133" s="196"/>
      <c r="D133" s="197" t="s">
        <v>228</v>
      </c>
      <c r="E133" s="166"/>
      <c r="F133" s="166"/>
      <c r="G133" s="166"/>
      <c r="H133" s="166"/>
      <c r="I133" s="166"/>
      <c r="J133" s="241">
        <f>SUM(J128:J132)</f>
        <v>4604.3599999999997</v>
      </c>
      <c r="K133" s="241">
        <f>SUM(K128:K132)</f>
        <v>9208.7199999999993</v>
      </c>
    </row>
    <row r="134" spans="1:11" s="96" customFormat="1" ht="15" customHeight="1" thickTop="1" thickBot="1" x14ac:dyDescent="0.25">
      <c r="B134" s="217"/>
      <c r="C134" s="176"/>
      <c r="D134" s="177"/>
      <c r="E134" s="178"/>
      <c r="F134" s="179"/>
      <c r="G134" s="179"/>
      <c r="H134" s="179"/>
      <c r="I134" s="179"/>
      <c r="J134" s="179"/>
      <c r="K134" s="179"/>
    </row>
    <row r="135" spans="1:11" s="68" customFormat="1" ht="12.95" customHeight="1" thickTop="1" thickBot="1" x14ac:dyDescent="0.25">
      <c r="B135" s="181"/>
      <c r="C135" s="69" t="s">
        <v>145</v>
      </c>
      <c r="D135" s="70"/>
      <c r="E135" s="70"/>
      <c r="F135" s="70"/>
      <c r="G135" s="70"/>
      <c r="H135" s="70"/>
      <c r="I135" s="70"/>
      <c r="J135" s="70"/>
    </row>
    <row r="136" spans="1:11" s="67" customFormat="1" ht="24.95" customHeight="1" thickBot="1" x14ac:dyDescent="0.25">
      <c r="A136" s="68"/>
      <c r="B136" s="72"/>
      <c r="C136" s="131"/>
      <c r="D136" s="73"/>
      <c r="E136" s="73"/>
      <c r="F136" s="73"/>
      <c r="G136" s="87"/>
      <c r="H136" s="97"/>
      <c r="I136" s="97"/>
      <c r="K136" s="184" t="s">
        <v>221</v>
      </c>
    </row>
    <row r="137" spans="1:11" s="67" customFormat="1" ht="12.95" customHeight="1" x14ac:dyDescent="0.2">
      <c r="A137" s="68"/>
      <c r="B137" s="72"/>
      <c r="C137" s="133" t="s">
        <v>101</v>
      </c>
      <c r="D137" s="73"/>
      <c r="E137" s="73"/>
      <c r="F137" s="73"/>
      <c r="G137" s="87"/>
      <c r="H137" s="79"/>
      <c r="I137" s="79"/>
      <c r="K137" s="83">
        <f>J67</f>
        <v>164.01</v>
      </c>
    </row>
    <row r="138" spans="1:11" s="67" customFormat="1" ht="12.95" customHeight="1" x14ac:dyDescent="0.2">
      <c r="A138" s="68"/>
      <c r="B138" s="72"/>
      <c r="C138" s="133" t="s">
        <v>287</v>
      </c>
      <c r="D138" s="73"/>
      <c r="E138" s="73"/>
      <c r="F138" s="73"/>
      <c r="G138" s="87"/>
      <c r="H138" s="79"/>
      <c r="I138" s="79"/>
      <c r="K138" s="83">
        <f>J67+J68</f>
        <v>218.73999999999998</v>
      </c>
    </row>
    <row r="139" spans="1:11" s="67" customFormat="1" ht="12.95" customHeight="1" x14ac:dyDescent="0.2">
      <c r="A139" s="68"/>
      <c r="B139" s="72"/>
      <c r="C139" s="144" t="s">
        <v>146</v>
      </c>
      <c r="D139" s="73"/>
      <c r="E139" s="73"/>
      <c r="F139" s="73"/>
      <c r="G139" s="87"/>
      <c r="H139" s="79"/>
      <c r="I139" s="79"/>
      <c r="K139" s="289">
        <f>SUM(K137:K138)</f>
        <v>382.75</v>
      </c>
    </row>
    <row r="140" spans="1:11" s="67" customFormat="1" ht="24.95" customHeight="1" x14ac:dyDescent="0.2">
      <c r="A140" s="68"/>
      <c r="B140" s="72"/>
      <c r="C140" s="482" t="s">
        <v>285</v>
      </c>
      <c r="D140" s="482"/>
      <c r="E140" s="482"/>
      <c r="F140" s="482"/>
      <c r="G140" s="482"/>
      <c r="H140" s="79"/>
      <c r="I140" s="79"/>
      <c r="K140" s="83">
        <f>ROUND(SUM(Encargos_Benefícios!I19:I26)*(Encargos_Benefícios!I28+Encargos_Benefícios!I28+Encargos_Benefícios!I29)*'Técnico Fórum'!J31,2)</f>
        <v>56.65</v>
      </c>
    </row>
    <row r="141" spans="1:11" s="67" customFormat="1" ht="12.95" customHeight="1" thickBot="1" x14ac:dyDescent="0.25">
      <c r="A141" s="68"/>
      <c r="B141" s="72"/>
      <c r="C141" s="133" t="s">
        <v>286</v>
      </c>
      <c r="D141" s="73"/>
      <c r="E141" s="73"/>
      <c r="F141" s="73"/>
      <c r="G141" s="87"/>
      <c r="H141" s="97"/>
      <c r="I141" s="79"/>
      <c r="K141" s="290">
        <f>J79</f>
        <v>63</v>
      </c>
    </row>
    <row r="142" spans="1:11" s="67" customFormat="1" ht="12.95" customHeight="1" thickTop="1" thickBot="1" x14ac:dyDescent="0.25">
      <c r="A142" s="68"/>
      <c r="B142" s="291"/>
      <c r="C142" s="292" t="s">
        <v>147</v>
      </c>
      <c r="D142" s="293"/>
      <c r="E142" s="293"/>
      <c r="F142" s="293"/>
      <c r="G142" s="294"/>
      <c r="H142" s="294"/>
      <c r="I142" s="294"/>
      <c r="J142" s="294"/>
      <c r="K142" s="295">
        <f>SUM(K139:K141)</f>
        <v>502.4</v>
      </c>
    </row>
    <row r="143" spans="1:11" s="96" customFormat="1" ht="15" customHeight="1" thickTop="1" x14ac:dyDescent="0.2">
      <c r="B143" s="174"/>
      <c r="C143" s="176"/>
      <c r="D143" s="177"/>
      <c r="E143" s="178"/>
      <c r="F143" s="179"/>
      <c r="G143" s="179"/>
      <c r="H143" s="179"/>
      <c r="I143" s="179"/>
      <c r="J143" s="179"/>
      <c r="K143" s="179"/>
    </row>
    <row r="144" spans="1:11" s="96" customFormat="1" ht="15" customHeight="1" x14ac:dyDescent="0.2"/>
    <row r="145" spans="1:11" s="153" customFormat="1" ht="30" customHeight="1" x14ac:dyDescent="0.2">
      <c r="A145" s="152"/>
      <c r="C145" s="481" t="s">
        <v>229</v>
      </c>
      <c r="D145" s="481"/>
      <c r="E145" s="481"/>
      <c r="F145" s="481"/>
      <c r="G145" s="481"/>
      <c r="H145" s="481"/>
      <c r="I145" s="481"/>
      <c r="J145" s="481"/>
      <c r="K145" s="481"/>
    </row>
    <row r="146" spans="1:11" ht="30" customHeight="1" x14ac:dyDescent="0.2">
      <c r="C146" s="480" t="s">
        <v>230</v>
      </c>
      <c r="D146" s="480"/>
      <c r="E146" s="480"/>
      <c r="F146" s="480"/>
      <c r="G146" s="480"/>
      <c r="H146" s="480"/>
      <c r="I146" s="480"/>
      <c r="J146" s="480"/>
      <c r="K146" s="480"/>
    </row>
    <row r="147" spans="1:11" ht="30" customHeight="1" x14ac:dyDescent="0.2">
      <c r="C147" s="480" t="s">
        <v>231</v>
      </c>
      <c r="D147" s="480"/>
      <c r="E147" s="480"/>
      <c r="F147" s="480"/>
      <c r="G147" s="480"/>
      <c r="H147" s="480"/>
      <c r="I147" s="480"/>
      <c r="J147" s="480"/>
      <c r="K147" s="480"/>
    </row>
    <row r="148" spans="1:11" ht="45" customHeight="1" x14ac:dyDescent="0.2">
      <c r="C148" s="480" t="s">
        <v>232</v>
      </c>
      <c r="D148" s="480"/>
      <c r="E148" s="480"/>
      <c r="F148" s="480"/>
      <c r="G148" s="480"/>
      <c r="H148" s="480"/>
      <c r="I148" s="480"/>
      <c r="J148" s="480"/>
      <c r="K148" s="480"/>
    </row>
    <row r="65533" hidden="1" x14ac:dyDescent="0.2"/>
  </sheetData>
  <mergeCells count="31">
    <mergeCell ref="E9:K9"/>
    <mergeCell ref="L1:Y1"/>
    <mergeCell ref="B4:D4"/>
    <mergeCell ref="J4:K4"/>
    <mergeCell ref="E4:F4"/>
    <mergeCell ref="E5:K5"/>
    <mergeCell ref="E11:I11"/>
    <mergeCell ref="B14:F14"/>
    <mergeCell ref="G14:I14"/>
    <mergeCell ref="J14:K14"/>
    <mergeCell ref="B15:F15"/>
    <mergeCell ref="G15:I15"/>
    <mergeCell ref="J15:K15"/>
    <mergeCell ref="C140:G140"/>
    <mergeCell ref="F40:H40"/>
    <mergeCell ref="F49:H49"/>
    <mergeCell ref="F30:I30"/>
    <mergeCell ref="J18:K18"/>
    <mergeCell ref="B19:E19"/>
    <mergeCell ref="F19:G19"/>
    <mergeCell ref="H19:I19"/>
    <mergeCell ref="J19:K19"/>
    <mergeCell ref="B18:E18"/>
    <mergeCell ref="F18:G18"/>
    <mergeCell ref="H18:I18"/>
    <mergeCell ref="C148:K148"/>
    <mergeCell ref="C145:K145"/>
    <mergeCell ref="C146:K146"/>
    <mergeCell ref="C147:K147"/>
    <mergeCell ref="G119:H119"/>
    <mergeCell ref="G123:H123"/>
  </mergeCells>
  <phoneticPr fontId="41" type="noConversion"/>
  <conditionalFormatting sqref="G142:J142 G141 G136:G139 I125:K125 J121 J123:K123 I128:K132 H136:I141 I106:K106 I98:K98 I101:K104 J119 K117:K122 I112 J109:J111 I109 I92:K96 J87:K87 I86:K86 I80:I81 J79:K81 I78:K78 I73:K73 I51:K51 I67:K68 I55:K62 J116:K116 J24:K30 I45:K49 K109:K115 J113:J115 J117 I35:K40">
    <cfRule type="cellIs" dxfId="0" priority="1" stopIfTrue="1" operator="equal">
      <formula>0</formula>
    </cfRule>
  </conditionalFormatting>
  <printOptions horizontalCentered="1"/>
  <pageMargins left="0.59055118110236227" right="0.39370078740157483" top="0.70866141732283472" bottom="0.59055118110236227" header="0.31496062992125984" footer="0.31496062992125984"/>
  <pageSetup paperSize="9" scale="91" firstPageNumber="0" orientation="portrait" horizontalDpi="300" verticalDpi="300" r:id="rId1"/>
  <headerFooter alignWithMargins="0">
    <oddHeader>&amp;C&amp;"Verdana,Negrito"&amp;11&amp;A</oddHeader>
    <oddFooter>&amp;C&amp;P</oddFooter>
  </headerFooter>
  <rowBreaks count="2" manualBreakCount="2">
    <brk id="51" max="10" man="1"/>
    <brk id="105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L36"/>
  <sheetViews>
    <sheetView showGridLines="0" showOutlineSymbols="0" view="pageBreakPreview" topLeftCell="A16" zoomScaleNormal="80" zoomScaleSheetLayoutView="100" workbookViewId="0">
      <selection activeCell="C27" sqref="C27"/>
    </sheetView>
  </sheetViews>
  <sheetFormatPr defaultColWidth="0" defaultRowHeight="12.75" x14ac:dyDescent="0.2"/>
  <cols>
    <col min="1" max="1" width="2.28515625" style="67" customWidth="1"/>
    <col min="2" max="2" width="3.7109375" style="67" customWidth="1"/>
    <col min="3" max="3" width="30.7109375" style="67" customWidth="1"/>
    <col min="4" max="4" width="11.7109375" style="67" customWidth="1"/>
    <col min="5" max="11" width="15.7109375" style="67" customWidth="1"/>
    <col min="12" max="12" width="1.7109375" style="67" customWidth="1"/>
    <col min="13" max="16384" width="0" style="67" hidden="1"/>
  </cols>
  <sheetData>
    <row r="1" spans="1:12" ht="18" x14ac:dyDescent="0.2">
      <c r="A1" s="71"/>
      <c r="B1" s="298" t="s">
        <v>354</v>
      </c>
      <c r="C1" s="71"/>
      <c r="D1" s="71"/>
      <c r="E1" s="71"/>
      <c r="F1" s="71"/>
      <c r="G1" s="71"/>
      <c r="H1" s="71"/>
      <c r="I1" s="71"/>
      <c r="J1" s="71"/>
      <c r="K1" s="71"/>
      <c r="L1"/>
    </row>
    <row r="2" spans="1:12" ht="9.9499999999999993" customHeight="1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/>
    </row>
    <row r="3" spans="1:12" s="24" customFormat="1" ht="16.5" thickBot="1" x14ac:dyDescent="0.25">
      <c r="A3" s="71"/>
      <c r="B3" s="299" t="s">
        <v>288</v>
      </c>
      <c r="E3" s="71"/>
      <c r="F3" s="71"/>
      <c r="G3" s="71"/>
      <c r="H3" s="71"/>
      <c r="I3" s="71"/>
      <c r="J3" s="71"/>
      <c r="K3" s="71"/>
      <c r="L3"/>
    </row>
    <row r="4" spans="1:12" s="24" customFormat="1" ht="15" customHeight="1" x14ac:dyDescent="0.2">
      <c r="A4" s="71"/>
      <c r="B4" s="498" t="s">
        <v>35</v>
      </c>
      <c r="C4" s="499"/>
      <c r="D4" s="499"/>
      <c r="E4" s="499"/>
      <c r="F4" s="499" t="s">
        <v>36</v>
      </c>
      <c r="G4" s="499"/>
      <c r="H4" s="499" t="s">
        <v>37</v>
      </c>
      <c r="I4" s="499"/>
      <c r="J4" s="453" t="s">
        <v>38</v>
      </c>
      <c r="K4" s="500"/>
      <c r="L4"/>
    </row>
    <row r="5" spans="1:12" s="24" customFormat="1" ht="15" customHeight="1" thickBot="1" x14ac:dyDescent="0.25">
      <c r="A5" s="71"/>
      <c r="B5" s="501" t="str">
        <f>IF(ISBLANK('Dados Contratação'!$B$6),"-",'Dados Contratação'!$B$6)</f>
        <v>22098/2020</v>
      </c>
      <c r="C5" s="502"/>
      <c r="D5" s="502"/>
      <c r="E5" s="502"/>
      <c r="F5" s="502" t="str">
        <f>IF(ISBLANK('Dados Contratação'!$E$6),"-",'Dados Contratação'!$E$6)</f>
        <v>XX/2020</v>
      </c>
      <c r="G5" s="502"/>
      <c r="H5" s="511">
        <f>IF(ISBLANK('Dados Contratação'!$G$6),"-",'Dados Contratação'!$G$6)</f>
        <v>44119</v>
      </c>
      <c r="I5" s="511"/>
      <c r="J5" s="503">
        <f>IF(ISBLANK('Dados Contratação'!$I$6),"-",'Dados Contratação'!$I$6)</f>
        <v>0.58333333333333337</v>
      </c>
      <c r="K5" s="504"/>
      <c r="L5"/>
    </row>
    <row r="6" spans="1:12" s="24" customFormat="1" ht="15" customHeight="1" x14ac:dyDescent="0.2">
      <c r="A6" s="71"/>
      <c r="B6" s="498" t="s">
        <v>39</v>
      </c>
      <c r="C6" s="499"/>
      <c r="D6" s="499"/>
      <c r="E6" s="499"/>
      <c r="F6" s="499" t="s">
        <v>40</v>
      </c>
      <c r="G6" s="499"/>
      <c r="H6" s="499"/>
      <c r="I6" s="453" t="s">
        <v>292</v>
      </c>
      <c r="J6" s="439"/>
      <c r="K6" s="500"/>
      <c r="L6"/>
    </row>
    <row r="7" spans="1:12" s="24" customFormat="1" ht="15" customHeight="1" thickBot="1" x14ac:dyDescent="0.25">
      <c r="A7" s="71"/>
      <c r="B7" s="507" t="str">
        <f>IF(ISBLANK('Dados Contratação'!$B$8),"-",'Dados Contratação'!$B$8)</f>
        <v>CAMPO GRANDE/MS</v>
      </c>
      <c r="C7" s="508"/>
      <c r="D7" s="508"/>
      <c r="E7" s="508"/>
      <c r="F7" s="508" t="str">
        <f>IF(ISBLANK('Dados Contratação'!$E$8),"-",CONCATENATE('Dados Contratação'!$E$8," ",'Dados Contratação'!$F$8))</f>
        <v>30 meses</v>
      </c>
      <c r="G7" s="508"/>
      <c r="H7" s="508"/>
      <c r="I7" s="443" t="str">
        <f>IF(ISBLANK('Dados Contratação'!$I$8),"-",CONCATENATE('Dados Contratação'!$I$8," ",'Dados Contratação'!$J$8))</f>
        <v>60 meses</v>
      </c>
      <c r="J7" s="442"/>
      <c r="K7" s="444"/>
      <c r="L7"/>
    </row>
    <row r="8" spans="1:12" s="24" customFormat="1" ht="15" customHeight="1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/>
    </row>
    <row r="9" spans="1:12" s="68" customFormat="1" x14ac:dyDescent="0.2">
      <c r="B9" s="69" t="s">
        <v>299</v>
      </c>
      <c r="C9" s="70"/>
      <c r="D9" s="70"/>
      <c r="E9" s="70"/>
      <c r="F9" s="70"/>
      <c r="G9" s="70"/>
      <c r="H9" s="70"/>
      <c r="I9" s="70"/>
      <c r="J9" s="70"/>
      <c r="K9" s="70"/>
      <c r="L9"/>
    </row>
    <row r="10" spans="1:12" ht="13.5" thickBot="1" x14ac:dyDescent="0.25">
      <c r="A10" s="96"/>
      <c r="B10" s="159"/>
      <c r="C10" s="96"/>
      <c r="D10" s="96"/>
      <c r="E10" s="96"/>
      <c r="F10" s="96"/>
      <c r="G10" s="96"/>
      <c r="H10" s="96"/>
      <c r="I10" s="96"/>
      <c r="J10" s="96"/>
      <c r="K10" s="96"/>
      <c r="L10"/>
    </row>
    <row r="11" spans="1:12" x14ac:dyDescent="0.2">
      <c r="A11" s="160"/>
      <c r="B11" s="307">
        <v>1</v>
      </c>
      <c r="C11" s="162" t="str">
        <f>'Dados Contratação'!C21</f>
        <v xml:space="preserve">Técnico de Informática </v>
      </c>
      <c r="D11" s="162"/>
      <c r="E11" s="162"/>
      <c r="F11" s="162"/>
      <c r="G11" s="162"/>
      <c r="H11" s="162"/>
      <c r="I11" s="162"/>
      <c r="J11" s="162"/>
      <c r="K11" s="162"/>
      <c r="L11"/>
    </row>
    <row r="12" spans="1:12" ht="45" customHeight="1" x14ac:dyDescent="0.2">
      <c r="A12" s="126"/>
      <c r="B12" s="126"/>
      <c r="C12" s="96"/>
      <c r="D12" s="242" t="s">
        <v>233</v>
      </c>
      <c r="E12" s="243" t="s">
        <v>91</v>
      </c>
      <c r="F12" s="244" t="s">
        <v>184</v>
      </c>
      <c r="G12" s="245" t="s">
        <v>160</v>
      </c>
      <c r="H12" s="244" t="s">
        <v>193</v>
      </c>
      <c r="I12" s="243" t="s">
        <v>209</v>
      </c>
      <c r="J12" s="244" t="s">
        <v>234</v>
      </c>
      <c r="K12" s="243" t="s">
        <v>235</v>
      </c>
      <c r="L12"/>
    </row>
    <row r="13" spans="1:12" ht="13.5" customHeight="1" x14ac:dyDescent="0.2">
      <c r="A13" s="126"/>
      <c r="B13" s="168">
        <v>1</v>
      </c>
      <c r="C13" s="163" t="s">
        <v>236</v>
      </c>
      <c r="D13" s="246">
        <f>'Técnico TRT'!$J$15</f>
        <v>3</v>
      </c>
      <c r="E13" s="247">
        <f>'Técnico TRT'!$J$128</f>
        <v>1968.86</v>
      </c>
      <c r="F13" s="248">
        <f>'Técnico TRT'!$J$129</f>
        <v>457.91</v>
      </c>
      <c r="G13" s="247">
        <f>'Técnico TRT'!$J$130</f>
        <v>120.16</v>
      </c>
      <c r="H13" s="248">
        <f>'Técnico TRT'!$J$131</f>
        <v>1088.6300000000001</v>
      </c>
      <c r="I13" s="247">
        <f>'Técnico TRT'!$J$132</f>
        <v>968.8</v>
      </c>
      <c r="J13" s="248">
        <f>SUM(E13:I13)</f>
        <v>4604.3599999999997</v>
      </c>
      <c r="K13" s="247">
        <f>D13*J13</f>
        <v>13813.079999999998</v>
      </c>
      <c r="L13"/>
    </row>
    <row r="14" spans="1:12" ht="13.5" customHeight="1" thickBot="1" x14ac:dyDescent="0.25">
      <c r="A14" s="126"/>
      <c r="B14" s="168">
        <v>2</v>
      </c>
      <c r="C14" s="163" t="s">
        <v>237</v>
      </c>
      <c r="D14" s="246">
        <f>'Técnico Fórum'!$J$15</f>
        <v>2</v>
      </c>
      <c r="E14" s="247">
        <f>'Técnico Fórum'!$J$128</f>
        <v>1968.86</v>
      </c>
      <c r="F14" s="248">
        <f>'Técnico Fórum'!$J$129</f>
        <v>457.91</v>
      </c>
      <c r="G14" s="247">
        <f>'Técnico Fórum'!$J$130</f>
        <v>120.16</v>
      </c>
      <c r="H14" s="248">
        <f>'Técnico Fórum'!$J$131</f>
        <v>1088.6300000000001</v>
      </c>
      <c r="I14" s="247">
        <f>'Técnico Fórum'!$J$132</f>
        <v>968.8</v>
      </c>
      <c r="J14" s="248">
        <f>SUM(E14:I14)</f>
        <v>4604.3599999999997</v>
      </c>
      <c r="K14" s="247">
        <f>D14*J14</f>
        <v>9208.7199999999993</v>
      </c>
      <c r="L14"/>
    </row>
    <row r="15" spans="1:12" ht="13.5" customHeight="1" thickBot="1" x14ac:dyDescent="0.25">
      <c r="A15" s="126"/>
      <c r="B15" s="165" t="s">
        <v>159</v>
      </c>
      <c r="C15" s="166"/>
      <c r="D15" s="249">
        <f>SUM(D13:D14)</f>
        <v>5</v>
      </c>
      <c r="E15" s="250">
        <f t="shared" ref="E15:J15" si="0">SUM(E13*$D13,E14*$D14)</f>
        <v>9844.2999999999993</v>
      </c>
      <c r="F15" s="250">
        <f t="shared" si="0"/>
        <v>2289.5500000000002</v>
      </c>
      <c r="G15" s="250">
        <f t="shared" si="0"/>
        <v>600.79999999999995</v>
      </c>
      <c r="H15" s="250">
        <f t="shared" si="0"/>
        <v>5443.1500000000005</v>
      </c>
      <c r="I15" s="250">
        <f t="shared" si="0"/>
        <v>4844</v>
      </c>
      <c r="J15" s="250">
        <f t="shared" si="0"/>
        <v>23021.799999999996</v>
      </c>
      <c r="K15" s="250">
        <f>SUM(K13:K14)</f>
        <v>23021.799999999996</v>
      </c>
      <c r="L15"/>
    </row>
    <row r="16" spans="1:12" ht="9.9499999999999993" customHeight="1" x14ac:dyDescent="0.2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/>
    </row>
    <row r="17" spans="1:12" ht="9.9499999999999993" customHeight="1" thickBot="1" x14ac:dyDescent="0.25">
      <c r="L17"/>
    </row>
    <row r="18" spans="1:12" x14ac:dyDescent="0.2">
      <c r="A18" s="160"/>
      <c r="B18" s="307">
        <v>2</v>
      </c>
      <c r="C18" s="162" t="str">
        <f>'Dados Contratação'!C20</f>
        <v>Analista Supervisor</v>
      </c>
      <c r="D18" s="162"/>
      <c r="E18" s="162"/>
      <c r="F18" s="162"/>
      <c r="G18" s="162"/>
      <c r="H18" s="162"/>
      <c r="I18" s="162"/>
      <c r="J18" s="162"/>
      <c r="K18" s="162"/>
      <c r="L18"/>
    </row>
    <row r="19" spans="1:12" ht="45" customHeight="1" x14ac:dyDescent="0.2">
      <c r="A19" s="126"/>
      <c r="B19" s="126"/>
      <c r="C19" s="96"/>
      <c r="D19" s="242" t="s">
        <v>233</v>
      </c>
      <c r="E19" s="243" t="s">
        <v>91</v>
      </c>
      <c r="F19" s="244" t="s">
        <v>184</v>
      </c>
      <c r="G19" s="245" t="s">
        <v>160</v>
      </c>
      <c r="H19" s="244" t="s">
        <v>193</v>
      </c>
      <c r="I19" s="243" t="s">
        <v>209</v>
      </c>
      <c r="J19" s="244" t="s">
        <v>234</v>
      </c>
      <c r="K19" s="243" t="s">
        <v>235</v>
      </c>
      <c r="L19"/>
    </row>
    <row r="20" spans="1:12" ht="13.5" customHeight="1" thickBot="1" x14ac:dyDescent="0.25">
      <c r="A20" s="126"/>
      <c r="B20" s="168">
        <v>3</v>
      </c>
      <c r="C20" s="163" t="s">
        <v>171</v>
      </c>
      <c r="D20" s="246">
        <f>'Supervisor TRT'!$J$15</f>
        <v>1</v>
      </c>
      <c r="E20" s="247">
        <f>'Supervisor TRT'!$J$128</f>
        <v>2907.72</v>
      </c>
      <c r="F20" s="248">
        <f>'Supervisor TRT'!$J$129</f>
        <v>401.58</v>
      </c>
      <c r="G20" s="247">
        <f>'Supervisor TRT'!$J$130</f>
        <v>120.16</v>
      </c>
      <c r="H20" s="248">
        <f>'Supervisor TRT'!$J$131</f>
        <v>1565.84</v>
      </c>
      <c r="I20" s="247">
        <f>'Supervisor TRT'!$J$132</f>
        <v>1331.15</v>
      </c>
      <c r="J20" s="248">
        <f>SUM(E20:I20)</f>
        <v>6326.4499999999989</v>
      </c>
      <c r="K20" s="247">
        <f>D20*J20</f>
        <v>6326.4499999999989</v>
      </c>
      <c r="L20"/>
    </row>
    <row r="21" spans="1:12" ht="13.5" customHeight="1" thickBot="1" x14ac:dyDescent="0.25">
      <c r="A21" s="126"/>
      <c r="B21" s="165" t="s">
        <v>159</v>
      </c>
      <c r="C21" s="166"/>
      <c r="D21" s="249">
        <f t="shared" ref="D21:K21" si="1">SUM(D20:D20)</f>
        <v>1</v>
      </c>
      <c r="E21" s="250">
        <f t="shared" si="1"/>
        <v>2907.72</v>
      </c>
      <c r="F21" s="250">
        <f t="shared" si="1"/>
        <v>401.58</v>
      </c>
      <c r="G21" s="250">
        <f t="shared" si="1"/>
        <v>120.16</v>
      </c>
      <c r="H21" s="250">
        <f t="shared" si="1"/>
        <v>1565.84</v>
      </c>
      <c r="I21" s="250">
        <f t="shared" si="1"/>
        <v>1331.15</v>
      </c>
      <c r="J21" s="250">
        <f t="shared" si="1"/>
        <v>6326.4499999999989</v>
      </c>
      <c r="K21" s="250">
        <f t="shared" si="1"/>
        <v>6326.4499999999989</v>
      </c>
      <c r="L21"/>
    </row>
    <row r="22" spans="1:12" ht="9.9499999999999993" customHeight="1" x14ac:dyDescent="0.2">
      <c r="A22" s="167"/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/>
    </row>
    <row r="23" spans="1:12" ht="9.9499999999999993" customHeight="1" thickBot="1" x14ac:dyDescent="0.25">
      <c r="L23"/>
    </row>
    <row r="24" spans="1:12" x14ac:dyDescent="0.2">
      <c r="A24" s="160"/>
      <c r="B24" s="307">
        <v>3</v>
      </c>
      <c r="C24" s="162" t="s">
        <v>352</v>
      </c>
      <c r="D24" s="162"/>
      <c r="E24" s="162"/>
      <c r="F24" s="162"/>
      <c r="G24" s="162"/>
      <c r="H24" s="162"/>
      <c r="I24" s="162"/>
      <c r="J24" s="162"/>
      <c r="K24" s="162"/>
      <c r="L24"/>
    </row>
    <row r="25" spans="1:12" ht="45" customHeight="1" x14ac:dyDescent="0.2">
      <c r="A25" s="126"/>
      <c r="B25" s="126"/>
      <c r="C25" s="96"/>
      <c r="D25" s="242" t="s">
        <v>233</v>
      </c>
      <c r="E25" s="243" t="s">
        <v>91</v>
      </c>
      <c r="F25" s="244" t="s">
        <v>184</v>
      </c>
      <c r="G25" s="245" t="s">
        <v>160</v>
      </c>
      <c r="H25" s="244" t="s">
        <v>193</v>
      </c>
      <c r="I25" s="243" t="s">
        <v>209</v>
      </c>
      <c r="J25" s="244" t="s">
        <v>234</v>
      </c>
      <c r="K25" s="243" t="s">
        <v>235</v>
      </c>
      <c r="L25"/>
    </row>
    <row r="26" spans="1:12" ht="13.5" customHeight="1" x14ac:dyDescent="0.2">
      <c r="A26" s="126"/>
      <c r="B26" s="168">
        <v>4</v>
      </c>
      <c r="C26" s="163" t="str">
        <f>C11</f>
        <v xml:space="preserve">Técnico de Informática </v>
      </c>
      <c r="D26" s="246">
        <f t="shared" ref="D26:K26" si="2">D15</f>
        <v>5</v>
      </c>
      <c r="E26" s="247">
        <f t="shared" si="2"/>
        <v>9844.2999999999993</v>
      </c>
      <c r="F26" s="248">
        <f t="shared" si="2"/>
        <v>2289.5500000000002</v>
      </c>
      <c r="G26" s="247">
        <f t="shared" si="2"/>
        <v>600.79999999999995</v>
      </c>
      <c r="H26" s="248">
        <f t="shared" si="2"/>
        <v>5443.1500000000005</v>
      </c>
      <c r="I26" s="247">
        <f t="shared" si="2"/>
        <v>4844</v>
      </c>
      <c r="J26" s="248">
        <f t="shared" si="2"/>
        <v>23021.799999999996</v>
      </c>
      <c r="K26" s="247">
        <f t="shared" si="2"/>
        <v>23021.799999999996</v>
      </c>
      <c r="L26"/>
    </row>
    <row r="27" spans="1:12" ht="13.5" customHeight="1" thickBot="1" x14ac:dyDescent="0.25">
      <c r="A27" s="126"/>
      <c r="B27" s="168">
        <v>5</v>
      </c>
      <c r="C27" s="163" t="str">
        <f>C18</f>
        <v>Analista Supervisor</v>
      </c>
      <c r="D27" s="246">
        <f t="shared" ref="D27:J27" si="3">D21</f>
        <v>1</v>
      </c>
      <c r="E27" s="247">
        <f t="shared" si="3"/>
        <v>2907.72</v>
      </c>
      <c r="F27" s="248">
        <f t="shared" si="3"/>
        <v>401.58</v>
      </c>
      <c r="G27" s="247">
        <f t="shared" si="3"/>
        <v>120.16</v>
      </c>
      <c r="H27" s="248">
        <f t="shared" si="3"/>
        <v>1565.84</v>
      </c>
      <c r="I27" s="247">
        <f t="shared" si="3"/>
        <v>1331.15</v>
      </c>
      <c r="J27" s="248">
        <f t="shared" si="3"/>
        <v>6326.4499999999989</v>
      </c>
      <c r="K27" s="247">
        <f>K21</f>
        <v>6326.4499999999989</v>
      </c>
      <c r="L27"/>
    </row>
    <row r="28" spans="1:12" ht="13.5" customHeight="1" thickBot="1" x14ac:dyDescent="0.25">
      <c r="A28" s="126"/>
      <c r="B28" s="165" t="s">
        <v>159</v>
      </c>
      <c r="C28" s="166"/>
      <c r="D28" s="249">
        <f t="shared" ref="D28:J28" si="4">SUM(D26:D27)</f>
        <v>6</v>
      </c>
      <c r="E28" s="250">
        <f t="shared" si="4"/>
        <v>12752.019999999999</v>
      </c>
      <c r="F28" s="250">
        <f t="shared" si="4"/>
        <v>2691.13</v>
      </c>
      <c r="G28" s="250">
        <f t="shared" si="4"/>
        <v>720.95999999999992</v>
      </c>
      <c r="H28" s="250">
        <f t="shared" si="4"/>
        <v>7008.9900000000007</v>
      </c>
      <c r="I28" s="250">
        <f t="shared" si="4"/>
        <v>6175.15</v>
      </c>
      <c r="J28" s="250">
        <f t="shared" si="4"/>
        <v>29348.249999999993</v>
      </c>
      <c r="K28" s="250">
        <f>SUM(K26:K27)</f>
        <v>29348.249999999993</v>
      </c>
      <c r="L28"/>
    </row>
    <row r="29" spans="1:12" ht="15" customHeight="1" x14ac:dyDescent="0.2">
      <c r="L29"/>
    </row>
    <row r="30" spans="1:12" s="68" customFormat="1" x14ac:dyDescent="0.2">
      <c r="B30" s="69" t="s">
        <v>298</v>
      </c>
      <c r="C30" s="70"/>
      <c r="D30" s="70"/>
      <c r="E30" s="70"/>
      <c r="F30" s="70"/>
      <c r="G30" s="70"/>
      <c r="H30" s="70"/>
      <c r="I30" s="70"/>
      <c r="J30" s="70"/>
      <c r="K30" s="70"/>
      <c r="L30"/>
    </row>
    <row r="31" spans="1:12" ht="13.5" thickBot="1" x14ac:dyDescent="0.25">
      <c r="A31" s="96"/>
      <c r="B31" s="159"/>
      <c r="C31" s="96"/>
      <c r="D31" s="96"/>
      <c r="E31" s="96"/>
      <c r="F31" s="96"/>
      <c r="G31" s="96"/>
      <c r="H31" s="96"/>
      <c r="I31" s="96"/>
      <c r="J31" s="96"/>
      <c r="K31" s="96"/>
      <c r="L31"/>
    </row>
    <row r="32" spans="1:12" x14ac:dyDescent="0.2">
      <c r="A32" s="160"/>
      <c r="B32" s="307">
        <v>4</v>
      </c>
      <c r="C32" s="161" t="s">
        <v>298</v>
      </c>
      <c r="D32" s="162"/>
      <c r="E32" s="162"/>
      <c r="F32" s="162"/>
      <c r="G32" s="162"/>
      <c r="H32" s="162"/>
      <c r="I32" s="162"/>
      <c r="J32" s="162"/>
      <c r="K32" s="162"/>
      <c r="L32"/>
    </row>
    <row r="33" spans="1:12" ht="30" customHeight="1" x14ac:dyDescent="0.2">
      <c r="A33" s="126"/>
      <c r="B33" s="126"/>
      <c r="C33" s="100"/>
      <c r="D33" s="100"/>
      <c r="E33" s="100"/>
      <c r="F33" s="100"/>
      <c r="G33" s="100"/>
      <c r="H33" s="100"/>
      <c r="I33" s="100"/>
      <c r="J33" s="505" t="s">
        <v>304</v>
      </c>
      <c r="K33" s="506"/>
      <c r="L33"/>
    </row>
    <row r="34" spans="1:12" ht="15" customHeight="1" x14ac:dyDescent="0.2">
      <c r="A34" s="126"/>
      <c r="B34" s="168">
        <v>6</v>
      </c>
      <c r="C34" s="324" t="s">
        <v>300</v>
      </c>
      <c r="D34" s="231"/>
      <c r="E34" s="231"/>
      <c r="F34" s="231"/>
      <c r="G34" s="231"/>
      <c r="H34" s="231"/>
      <c r="I34" s="231"/>
      <c r="J34" s="509">
        <f>K28</f>
        <v>29348.249999999993</v>
      </c>
      <c r="K34" s="510"/>
      <c r="L34"/>
    </row>
    <row r="35" spans="1:12" ht="15" customHeight="1" thickBot="1" x14ac:dyDescent="0.25">
      <c r="A35" s="126"/>
      <c r="B35" s="168">
        <v>7</v>
      </c>
      <c r="C35" s="325" t="s">
        <v>301</v>
      </c>
      <c r="D35" s="326"/>
      <c r="E35" s="326"/>
      <c r="F35" s="326"/>
      <c r="G35" s="326"/>
      <c r="H35" s="326"/>
      <c r="I35" s="326"/>
      <c r="J35" s="305" t="str">
        <f>'Dados Contratação'!$E$8</f>
        <v>30</v>
      </c>
      <c r="K35" s="306" t="str">
        <f>'Dados Contratação'!F8</f>
        <v>meses</v>
      </c>
      <c r="L35"/>
    </row>
    <row r="36" spans="1:12" ht="15" customHeight="1" thickBot="1" x14ac:dyDescent="0.25">
      <c r="A36" s="126"/>
      <c r="B36" s="165" t="s">
        <v>302</v>
      </c>
      <c r="C36" s="165"/>
      <c r="D36" s="165"/>
      <c r="E36" s="165"/>
      <c r="F36" s="165"/>
      <c r="G36" s="165"/>
      <c r="H36" s="165"/>
      <c r="I36" s="165"/>
      <c r="J36" s="496">
        <f>J34*J35</f>
        <v>880447.49999999977</v>
      </c>
      <c r="K36" s="497"/>
      <c r="L36"/>
    </row>
  </sheetData>
  <sheetProtection sheet="1" selectLockedCells="1" selectUnlockedCells="1"/>
  <mergeCells count="17">
    <mergeCell ref="F6:H6"/>
    <mergeCell ref="J36:K36"/>
    <mergeCell ref="B4:E4"/>
    <mergeCell ref="F4:G4"/>
    <mergeCell ref="H4:I4"/>
    <mergeCell ref="J4:K4"/>
    <mergeCell ref="I6:K6"/>
    <mergeCell ref="I7:K7"/>
    <mergeCell ref="B5:E5"/>
    <mergeCell ref="J5:K5"/>
    <mergeCell ref="J33:K33"/>
    <mergeCell ref="B7:E7"/>
    <mergeCell ref="F7:H7"/>
    <mergeCell ref="J34:K34"/>
    <mergeCell ref="F5:G5"/>
    <mergeCell ref="H5:I5"/>
    <mergeCell ref="B6:E6"/>
  </mergeCells>
  <phoneticPr fontId="41" type="noConversion"/>
  <printOptions horizontalCentered="1"/>
  <pageMargins left="0.39370078740157483" right="0.39370078740157483" top="0.59055118110236227" bottom="0.59055118110236227" header="0.51181102362204722" footer="0.31496062992125984"/>
  <pageSetup paperSize="9" scale="8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B1:F31"/>
  <sheetViews>
    <sheetView tabSelected="1" showOutlineSymbols="0" view="pageBreakPreview" zoomScaleSheetLayoutView="100" workbookViewId="0">
      <selection activeCell="O27" sqref="O27"/>
    </sheetView>
  </sheetViews>
  <sheetFormatPr defaultRowHeight="12.75" customHeight="1" x14ac:dyDescent="0.2"/>
  <cols>
    <col min="1" max="1" width="1.7109375" style="1" customWidth="1"/>
    <col min="2" max="2" width="2.85546875" style="1" customWidth="1"/>
    <col min="3" max="3" width="48.28515625" style="1" customWidth="1"/>
    <col min="4" max="4" width="12.7109375" style="1" customWidth="1"/>
    <col min="5" max="5" width="33.5703125" style="1" customWidth="1"/>
    <col min="6" max="6" width="3" style="1" customWidth="1"/>
    <col min="7" max="16384" width="9.140625" style="1"/>
  </cols>
  <sheetData>
    <row r="1" spans="2:6" ht="8.1" customHeight="1" x14ac:dyDescent="0.2"/>
    <row r="2" spans="2:6" s="9" customFormat="1" ht="15" customHeight="1" x14ac:dyDescent="0.25">
      <c r="B2" s="10"/>
      <c r="C2" s="11"/>
      <c r="D2" s="11"/>
      <c r="E2" s="11"/>
      <c r="F2" s="12"/>
    </row>
    <row r="3" spans="2:6" ht="18" customHeight="1" x14ac:dyDescent="0.2">
      <c r="B3" s="13"/>
      <c r="C3" s="347" t="s">
        <v>16</v>
      </c>
      <c r="D3" s="347"/>
      <c r="E3" s="347"/>
      <c r="F3" s="14"/>
    </row>
    <row r="4" spans="2:6" ht="12.75" customHeight="1" x14ac:dyDescent="0.2">
      <c r="B4" s="13"/>
      <c r="C4" s="15"/>
      <c r="D4" s="15"/>
      <c r="E4" s="15"/>
      <c r="F4" s="14"/>
    </row>
    <row r="5" spans="2:6" ht="15" customHeight="1" x14ac:dyDescent="0.2">
      <c r="B5" s="13"/>
      <c r="C5" s="348" t="s">
        <v>17</v>
      </c>
      <c r="D5" s="348"/>
      <c r="E5" s="348"/>
      <c r="F5" s="14"/>
    </row>
    <row r="6" spans="2:6" ht="12.75" customHeight="1" x14ac:dyDescent="0.2">
      <c r="B6" s="13"/>
      <c r="C6" s="15"/>
      <c r="D6" s="15"/>
      <c r="E6" s="15"/>
      <c r="F6" s="14"/>
    </row>
    <row r="7" spans="2:6" ht="32.25" customHeight="1" x14ac:dyDescent="0.2">
      <c r="B7" s="13"/>
      <c r="C7" s="348" t="s">
        <v>18</v>
      </c>
      <c r="D7" s="348"/>
      <c r="E7" s="348"/>
      <c r="F7" s="14"/>
    </row>
    <row r="8" spans="2:6" ht="12.75" customHeight="1" x14ac:dyDescent="0.2">
      <c r="B8" s="13"/>
      <c r="C8" s="15"/>
      <c r="D8" s="15"/>
      <c r="E8" s="15"/>
      <c r="F8" s="14"/>
    </row>
    <row r="9" spans="2:6" ht="31.5" customHeight="1" x14ac:dyDescent="0.2">
      <c r="B9" s="13"/>
      <c r="C9" s="349" t="s">
        <v>19</v>
      </c>
      <c r="D9" s="349"/>
      <c r="E9" s="349"/>
      <c r="F9" s="14"/>
    </row>
    <row r="10" spans="2:6" ht="12.75" customHeight="1" x14ac:dyDescent="0.2">
      <c r="B10" s="13"/>
      <c r="C10" s="15"/>
      <c r="D10" s="15"/>
      <c r="E10" s="15"/>
      <c r="F10" s="14"/>
    </row>
    <row r="11" spans="2:6" ht="12.75" customHeight="1" x14ac:dyDescent="0.2">
      <c r="B11" s="13"/>
      <c r="C11" s="15"/>
      <c r="D11" s="15"/>
      <c r="E11" s="15"/>
      <c r="F11" s="14"/>
    </row>
    <row r="12" spans="2:6" ht="18" customHeight="1" x14ac:dyDescent="0.2">
      <c r="B12" s="13"/>
      <c r="C12" s="350" t="s">
        <v>20</v>
      </c>
      <c r="D12" s="350"/>
      <c r="E12" s="350"/>
      <c r="F12" s="14"/>
    </row>
    <row r="13" spans="2:6" ht="12.75" customHeight="1" x14ac:dyDescent="0.2">
      <c r="B13" s="13"/>
      <c r="C13" s="15"/>
      <c r="D13" s="15"/>
      <c r="E13" s="15"/>
      <c r="F13" s="14"/>
    </row>
    <row r="14" spans="2:6" ht="15" customHeight="1" x14ac:dyDescent="0.2">
      <c r="B14" s="13"/>
      <c r="C14" s="16" t="s">
        <v>21</v>
      </c>
      <c r="D14" s="17" t="s">
        <v>22</v>
      </c>
      <c r="E14" s="16" t="s">
        <v>23</v>
      </c>
      <c r="F14" s="14"/>
    </row>
    <row r="15" spans="2:6" ht="12.75" customHeight="1" x14ac:dyDescent="0.2">
      <c r="B15" s="13"/>
      <c r="C15" s="18"/>
      <c r="D15" s="18"/>
      <c r="E15" s="18"/>
      <c r="F15" s="14"/>
    </row>
    <row r="16" spans="2:6" ht="30.75" customHeight="1" x14ac:dyDescent="0.2">
      <c r="B16" s="13"/>
      <c r="C16" s="351" t="s">
        <v>24</v>
      </c>
      <c r="D16" s="351"/>
      <c r="E16" s="351"/>
      <c r="F16" s="14"/>
    </row>
    <row r="17" spans="2:6" ht="12.75" customHeight="1" x14ac:dyDescent="0.2">
      <c r="B17" s="13"/>
      <c r="C17" s="18"/>
      <c r="D17" s="18"/>
      <c r="E17" s="18"/>
      <c r="F17" s="14"/>
    </row>
    <row r="18" spans="2:6" ht="15" customHeight="1" x14ac:dyDescent="0.2">
      <c r="B18" s="13"/>
      <c r="C18" s="351" t="s">
        <v>25</v>
      </c>
      <c r="D18" s="351"/>
      <c r="E18" s="351"/>
      <c r="F18" s="14"/>
    </row>
    <row r="19" spans="2:6" ht="12.75" customHeight="1" x14ac:dyDescent="0.2">
      <c r="B19" s="13"/>
      <c r="C19" s="19"/>
      <c r="D19" s="19"/>
      <c r="E19" s="19"/>
      <c r="F19" s="14"/>
    </row>
    <row r="20" spans="2:6" ht="14.25" customHeight="1" x14ac:dyDescent="0.2">
      <c r="B20" s="13"/>
      <c r="C20" s="352" t="s">
        <v>26</v>
      </c>
      <c r="D20" s="352"/>
      <c r="E20" s="352"/>
      <c r="F20" s="14"/>
    </row>
    <row r="21" spans="2:6" ht="30" customHeight="1" x14ac:dyDescent="0.2">
      <c r="B21" s="13"/>
      <c r="C21" s="355" t="s">
        <v>27</v>
      </c>
      <c r="D21" s="355"/>
      <c r="E21" s="355"/>
      <c r="F21" s="14"/>
    </row>
    <row r="22" spans="2:6" ht="12.75" customHeight="1" x14ac:dyDescent="0.2">
      <c r="B22" s="13"/>
      <c r="C22" s="20"/>
      <c r="D22" s="20"/>
      <c r="E22" s="20"/>
      <c r="F22" s="14"/>
    </row>
    <row r="23" spans="2:6" ht="14.25" customHeight="1" x14ac:dyDescent="0.2">
      <c r="B23" s="13"/>
      <c r="C23" s="352" t="s">
        <v>28</v>
      </c>
      <c r="D23" s="352"/>
      <c r="E23" s="352"/>
      <c r="F23" s="14"/>
    </row>
    <row r="24" spans="2:6" ht="14.25" customHeight="1" x14ac:dyDescent="0.2">
      <c r="B24" s="13"/>
      <c r="C24" s="355" t="s">
        <v>29</v>
      </c>
      <c r="D24" s="355"/>
      <c r="E24" s="355"/>
      <c r="F24" s="14"/>
    </row>
    <row r="25" spans="2:6" ht="12.75" customHeight="1" x14ac:dyDescent="0.2">
      <c r="B25" s="13"/>
      <c r="C25" s="18"/>
      <c r="D25" s="18"/>
      <c r="E25" s="18"/>
      <c r="F25" s="14"/>
    </row>
    <row r="26" spans="2:6" ht="15" customHeight="1" x14ac:dyDescent="0.2">
      <c r="B26" s="13"/>
      <c r="C26" s="351" t="s">
        <v>30</v>
      </c>
      <c r="D26" s="351"/>
      <c r="E26" s="351"/>
      <c r="F26" s="14"/>
    </row>
    <row r="27" spans="2:6" ht="12.75" customHeight="1" x14ac:dyDescent="0.2">
      <c r="B27" s="13"/>
      <c r="C27" s="353" t="s">
        <v>31</v>
      </c>
      <c r="D27" s="353"/>
      <c r="E27" s="353"/>
      <c r="F27" s="14"/>
    </row>
    <row r="28" spans="2:6" ht="12.75" customHeight="1" x14ac:dyDescent="0.2">
      <c r="B28" s="13"/>
      <c r="C28" s="15"/>
      <c r="D28" s="15"/>
      <c r="E28" s="15"/>
      <c r="F28" s="14"/>
    </row>
    <row r="29" spans="2:6" ht="12.75" customHeight="1" x14ac:dyDescent="0.2">
      <c r="B29" s="13"/>
      <c r="C29" s="15"/>
      <c r="D29" s="15"/>
      <c r="E29" s="15"/>
      <c r="F29" s="14"/>
    </row>
    <row r="30" spans="2:6" ht="15.75" customHeight="1" x14ac:dyDescent="0.2">
      <c r="B30" s="13"/>
      <c r="C30" s="354" t="s">
        <v>32</v>
      </c>
      <c r="D30" s="354"/>
      <c r="E30" s="354"/>
      <c r="F30" s="14"/>
    </row>
    <row r="31" spans="2:6" ht="15" customHeight="1" x14ac:dyDescent="0.2">
      <c r="B31" s="21"/>
      <c r="C31" s="22"/>
      <c r="D31" s="22"/>
      <c r="E31" s="22"/>
      <c r="F31" s="23"/>
    </row>
  </sheetData>
  <protectedRanges>
    <protectedRange sqref="C27" name="Intervalo1"/>
  </protectedRanges>
  <mergeCells count="14">
    <mergeCell ref="C16:E16"/>
    <mergeCell ref="C18:E18"/>
    <mergeCell ref="C20:E20"/>
    <mergeCell ref="C27:E27"/>
    <mergeCell ref="C30:E30"/>
    <mergeCell ref="C21:E21"/>
    <mergeCell ref="C23:E23"/>
    <mergeCell ref="C24:E24"/>
    <mergeCell ref="C26:E26"/>
    <mergeCell ref="C3:E3"/>
    <mergeCell ref="C5:E5"/>
    <mergeCell ref="C7:E7"/>
    <mergeCell ref="C9:E9"/>
    <mergeCell ref="C12:E12"/>
  </mergeCells>
  <phoneticPr fontId="41" type="noConversion"/>
  <hyperlinks>
    <hyperlink ref="C27" r:id="rId1"/>
  </hyperlinks>
  <printOptions horizontalCentered="1"/>
  <pageMargins left="0.59027777777777779" right="0.59027777777777779" top="0.59027777777777779" bottom="0.59027777777777779" header="0.51180555555555551" footer="0.51180555555555551"/>
  <pageSetup paperSize="9" scale="95" firstPageNumber="0" orientation="portrait" r:id="rId2"/>
  <headerFooter alignWithMargins="0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showOutlineSymbols="0" view="pageBreakPreview" zoomScale="160" zoomScaleSheetLayoutView="160" workbookViewId="0">
      <selection activeCell="L113" sqref="L113"/>
    </sheetView>
  </sheetViews>
  <sheetFormatPr defaultRowHeight="12.75" x14ac:dyDescent="0.2"/>
  <cols>
    <col min="1" max="1" width="0.7109375" style="67" customWidth="1"/>
    <col min="2" max="2" width="2.28515625" style="67" customWidth="1"/>
    <col min="3" max="3" width="4.7109375" style="67" customWidth="1"/>
    <col min="4" max="4" width="23.28515625" style="67" customWidth="1"/>
    <col min="5" max="5" width="19.7109375" style="67" customWidth="1"/>
    <col min="6" max="7" width="10.7109375" style="67" customWidth="1"/>
    <col min="8" max="8" width="4.7109375" style="67" customWidth="1"/>
    <col min="9" max="10" width="10.7109375" style="67" customWidth="1"/>
    <col min="11" max="16384" width="9.140625" style="67"/>
  </cols>
  <sheetData>
    <row r="1" spans="1:10" s="68" customFormat="1" ht="12.95" customHeight="1" x14ac:dyDescent="0.2">
      <c r="B1" s="69" t="s">
        <v>92</v>
      </c>
      <c r="C1" s="70"/>
      <c r="D1" s="70"/>
      <c r="E1" s="70"/>
      <c r="F1" s="70"/>
      <c r="G1" s="70"/>
      <c r="H1" s="71"/>
      <c r="J1" s="86"/>
    </row>
    <row r="2" spans="1:10" ht="15" customHeight="1" x14ac:dyDescent="0.2">
      <c r="A2" s="68"/>
      <c r="B2" s="72"/>
      <c r="C2" s="73"/>
      <c r="D2" s="73"/>
      <c r="E2" s="73"/>
      <c r="F2" s="73"/>
      <c r="G2" s="74"/>
      <c r="H2" s="74"/>
      <c r="J2" s="86"/>
    </row>
    <row r="3" spans="1:10" ht="12.95" customHeight="1" x14ac:dyDescent="0.2">
      <c r="A3" s="68"/>
      <c r="B3" s="72"/>
      <c r="C3" s="251" t="s">
        <v>103</v>
      </c>
      <c r="D3" s="251"/>
      <c r="E3" s="73"/>
      <c r="F3" s="371" t="s">
        <v>277</v>
      </c>
      <c r="G3" s="377"/>
      <c r="H3" s="90"/>
      <c r="I3" s="371" t="s">
        <v>278</v>
      </c>
      <c r="J3" s="377"/>
    </row>
    <row r="4" spans="1:10" ht="12.95" customHeight="1" thickBot="1" x14ac:dyDescent="0.25">
      <c r="A4" s="68"/>
      <c r="B4" s="88"/>
      <c r="C4" s="276"/>
      <c r="D4" s="251" t="s">
        <v>104</v>
      </c>
      <c r="E4" s="73"/>
      <c r="F4" s="89">
        <v>120</v>
      </c>
      <c r="G4" s="376">
        <f>(F4/F5)*F6*F7</f>
        <v>1.3012238193018479E-3</v>
      </c>
      <c r="H4" s="90"/>
      <c r="I4" s="89">
        <v>120</v>
      </c>
      <c r="J4" s="376">
        <f>(I4/I5)*I6*I7</f>
        <v>1.0048262833675563E-2</v>
      </c>
    </row>
    <row r="5" spans="1:10" ht="12.95" customHeight="1" thickTop="1" thickBot="1" x14ac:dyDescent="0.25">
      <c r="A5" s="68"/>
      <c r="B5" s="76"/>
      <c r="C5" s="277"/>
      <c r="D5" s="251" t="s">
        <v>105</v>
      </c>
      <c r="E5" s="73"/>
      <c r="F5" s="91">
        <f>(365+((366-365)/4))/12</f>
        <v>30.4375</v>
      </c>
      <c r="G5" s="376"/>
      <c r="H5" s="90"/>
      <c r="I5" s="91">
        <f>(365+((366-365)/4))/12</f>
        <v>30.4375</v>
      </c>
      <c r="J5" s="376"/>
    </row>
    <row r="6" spans="1:10" ht="12.95" customHeight="1" thickTop="1" thickBot="1" x14ac:dyDescent="0.25">
      <c r="A6" s="68"/>
      <c r="B6" s="76"/>
      <c r="C6" s="277"/>
      <c r="D6" s="251" t="s">
        <v>106</v>
      </c>
      <c r="E6" s="73"/>
      <c r="F6" s="92">
        <v>9.4299999999999995E-2</v>
      </c>
      <c r="G6" s="376"/>
      <c r="H6" s="90"/>
      <c r="I6" s="92">
        <v>0.72819999999999996</v>
      </c>
      <c r="J6" s="376"/>
    </row>
    <row r="7" spans="1:10" ht="12.95" customHeight="1" thickTop="1" x14ac:dyDescent="0.2">
      <c r="A7" s="68"/>
      <c r="B7" s="93"/>
      <c r="C7" s="278"/>
      <c r="D7" s="251" t="s">
        <v>107</v>
      </c>
      <c r="E7" s="73"/>
      <c r="F7" s="94">
        <v>3.5000000000000001E-3</v>
      </c>
      <c r="G7" s="376"/>
      <c r="H7" s="90"/>
      <c r="I7" s="94">
        <v>3.5000000000000001E-3</v>
      </c>
      <c r="J7" s="376"/>
    </row>
    <row r="8" spans="1:10" ht="20.100000000000001" customHeight="1" x14ac:dyDescent="0.2">
      <c r="A8" s="68"/>
      <c r="B8" s="95"/>
      <c r="C8" s="96"/>
      <c r="D8" s="96"/>
      <c r="E8" s="96"/>
      <c r="F8" s="96"/>
      <c r="G8" s="97"/>
      <c r="H8" s="97"/>
      <c r="J8" s="86"/>
    </row>
    <row r="9" spans="1:10" s="68" customFormat="1" ht="12.95" customHeight="1" x14ac:dyDescent="0.2">
      <c r="B9" s="69" t="s">
        <v>133</v>
      </c>
      <c r="C9" s="70"/>
      <c r="D9" s="70"/>
      <c r="E9" s="70"/>
      <c r="F9" s="70"/>
      <c r="G9" s="70"/>
      <c r="H9" s="70"/>
      <c r="J9" s="86"/>
    </row>
    <row r="10" spans="1:10" s="68" customFormat="1" ht="15" customHeight="1" x14ac:dyDescent="0.2">
      <c r="B10" s="138"/>
      <c r="C10" s="71"/>
      <c r="D10" s="71"/>
      <c r="E10" s="71"/>
      <c r="F10" s="371" t="s">
        <v>277</v>
      </c>
      <c r="G10" s="377"/>
      <c r="H10" s="90"/>
      <c r="I10" s="371" t="s">
        <v>278</v>
      </c>
      <c r="J10" s="377"/>
    </row>
    <row r="11" spans="1:10" ht="12.95" customHeight="1" x14ac:dyDescent="0.2">
      <c r="A11" s="68"/>
      <c r="B11" s="139"/>
      <c r="C11" s="142" t="s">
        <v>240</v>
      </c>
      <c r="D11" s="100"/>
      <c r="E11" s="100"/>
      <c r="F11" s="100"/>
      <c r="G11" s="253">
        <v>20.4969</v>
      </c>
      <c r="H11" s="254"/>
      <c r="I11" s="100"/>
      <c r="J11" s="253">
        <v>20.4969</v>
      </c>
    </row>
    <row r="12" spans="1:10" ht="12.95" customHeight="1" x14ac:dyDescent="0.2">
      <c r="A12" s="68"/>
      <c r="B12" s="72"/>
      <c r="C12" s="142"/>
      <c r="D12" s="73" t="s">
        <v>241</v>
      </c>
      <c r="E12" s="73"/>
      <c r="F12" s="255">
        <v>30</v>
      </c>
      <c r="G12" s="378">
        <f>F12*F13</f>
        <v>9.5030999999999999</v>
      </c>
      <c r="H12" s="256"/>
      <c r="I12" s="255">
        <v>30</v>
      </c>
      <c r="J12" s="378">
        <f>I12*I13</f>
        <v>9.5030999999999999</v>
      </c>
    </row>
    <row r="13" spans="1:10" ht="12.95" customHeight="1" x14ac:dyDescent="0.2">
      <c r="A13" s="68"/>
      <c r="B13" s="72"/>
      <c r="C13" s="142"/>
      <c r="D13" s="73" t="s">
        <v>242</v>
      </c>
      <c r="E13" s="73"/>
      <c r="F13" s="257">
        <v>0.31677</v>
      </c>
      <c r="G13" s="378"/>
      <c r="H13" s="256"/>
      <c r="I13" s="257">
        <v>0.31677</v>
      </c>
      <c r="J13" s="378"/>
    </row>
    <row r="14" spans="1:10" ht="12.95" customHeight="1" x14ac:dyDescent="0.2">
      <c r="A14" s="68"/>
      <c r="B14" s="72"/>
      <c r="C14" s="142"/>
      <c r="D14" s="73"/>
      <c r="E14" s="73"/>
      <c r="F14" s="87"/>
      <c r="G14" s="87"/>
      <c r="H14" s="87"/>
      <c r="I14" s="87"/>
      <c r="J14" s="87"/>
    </row>
    <row r="15" spans="1:10" ht="12.95" customHeight="1" x14ac:dyDescent="0.2">
      <c r="A15" s="68"/>
      <c r="B15" s="72"/>
      <c r="C15" s="142" t="s">
        <v>243</v>
      </c>
      <c r="D15" s="73"/>
      <c r="E15" s="73"/>
      <c r="F15" s="73"/>
      <c r="G15" s="97"/>
      <c r="H15" s="97"/>
      <c r="I15" s="73"/>
      <c r="J15" s="97"/>
    </row>
    <row r="16" spans="1:10" ht="12.95" customHeight="1" x14ac:dyDescent="0.2">
      <c r="A16" s="68"/>
      <c r="B16" s="72"/>
      <c r="C16" s="142"/>
      <c r="D16" s="73" t="s">
        <v>244</v>
      </c>
      <c r="E16" s="73"/>
      <c r="F16" s="73"/>
      <c r="G16" s="258">
        <v>2.7799999999999998E-2</v>
      </c>
      <c r="H16" s="254"/>
      <c r="I16" s="73"/>
      <c r="J16" s="258">
        <v>2.7799999999999998E-2</v>
      </c>
    </row>
    <row r="17" spans="1:10" ht="12.95" customHeight="1" x14ac:dyDescent="0.2">
      <c r="A17" s="68"/>
      <c r="B17" s="72"/>
      <c r="C17" s="142"/>
      <c r="D17" s="73"/>
      <c r="E17" s="73"/>
      <c r="F17" s="87"/>
      <c r="G17" s="87"/>
      <c r="H17" s="87"/>
      <c r="I17" s="87"/>
      <c r="J17" s="87"/>
    </row>
    <row r="18" spans="1:10" ht="12.95" customHeight="1" x14ac:dyDescent="0.2">
      <c r="A18" s="68"/>
      <c r="B18" s="72"/>
      <c r="C18" s="142" t="s">
        <v>135</v>
      </c>
      <c r="D18" s="73"/>
      <c r="E18" s="73"/>
      <c r="F18" s="73"/>
      <c r="G18" s="97"/>
      <c r="H18" s="87"/>
      <c r="I18" s="73"/>
      <c r="J18" s="97"/>
    </row>
    <row r="19" spans="1:10" ht="12.95" customHeight="1" x14ac:dyDescent="0.2">
      <c r="A19" s="68"/>
      <c r="B19" s="72"/>
      <c r="C19" s="142"/>
      <c r="D19" s="73" t="s">
        <v>245</v>
      </c>
      <c r="E19" s="73"/>
      <c r="F19" s="259">
        <v>0.90569999999999995</v>
      </c>
      <c r="G19" s="375">
        <f>F19*F20</f>
        <v>3.8311109999999995E-2</v>
      </c>
      <c r="H19" s="254"/>
      <c r="I19" s="259">
        <v>0.27179999999999999</v>
      </c>
      <c r="J19" s="375">
        <f>I19*I20</f>
        <v>1.1497139999999999E-2</v>
      </c>
    </row>
    <row r="20" spans="1:10" ht="12.95" customHeight="1" x14ac:dyDescent="0.2">
      <c r="A20" s="68"/>
      <c r="B20" s="72"/>
      <c r="C20" s="142"/>
      <c r="D20" s="73" t="s">
        <v>246</v>
      </c>
      <c r="E20" s="73"/>
      <c r="F20" s="253">
        <v>4.2299999999999997E-2</v>
      </c>
      <c r="G20" s="375"/>
      <c r="H20" s="254"/>
      <c r="I20" s="253">
        <v>4.2299999999999997E-2</v>
      </c>
      <c r="J20" s="375"/>
    </row>
    <row r="21" spans="1:10" ht="12.95" customHeight="1" x14ac:dyDescent="0.2">
      <c r="A21" s="68"/>
      <c r="B21" s="72"/>
      <c r="C21" s="142"/>
      <c r="D21" s="73"/>
      <c r="E21" s="251"/>
      <c r="F21" s="260"/>
      <c r="G21" s="260"/>
      <c r="H21" s="251"/>
      <c r="I21" s="260"/>
      <c r="J21" s="260"/>
    </row>
    <row r="22" spans="1:10" ht="12.95" customHeight="1" x14ac:dyDescent="0.2">
      <c r="A22" s="68"/>
      <c r="B22" s="72"/>
      <c r="C22" s="142" t="s">
        <v>247</v>
      </c>
      <c r="D22" s="73"/>
      <c r="E22" s="73"/>
      <c r="F22" s="73"/>
      <c r="G22" s="97"/>
      <c r="H22" s="87"/>
      <c r="I22" s="73"/>
      <c r="J22" s="97"/>
    </row>
    <row r="23" spans="1:10" ht="12.95" customHeight="1" x14ac:dyDescent="0.2">
      <c r="A23" s="68"/>
      <c r="B23" s="72"/>
      <c r="C23" s="142"/>
      <c r="D23" s="73" t="s">
        <v>106</v>
      </c>
      <c r="E23" s="73"/>
      <c r="F23" s="259">
        <v>9.4299999999999995E-2</v>
      </c>
      <c r="G23" s="379">
        <f>F23*F24</f>
        <v>3.3004999999999997E-4</v>
      </c>
      <c r="H23" s="254"/>
      <c r="I23" s="259">
        <v>0.72619999999999996</v>
      </c>
      <c r="J23" s="379">
        <f>I23*I24</f>
        <v>2.5417E-3</v>
      </c>
    </row>
    <row r="24" spans="1:10" ht="12.95" customHeight="1" x14ac:dyDescent="0.2">
      <c r="A24" s="68"/>
      <c r="B24" s="72"/>
      <c r="C24" s="142"/>
      <c r="D24" s="73" t="s">
        <v>246</v>
      </c>
      <c r="E24" s="73"/>
      <c r="F24" s="259">
        <v>3.5000000000000001E-3</v>
      </c>
      <c r="G24" s="379"/>
      <c r="H24" s="254"/>
      <c r="I24" s="259">
        <v>3.5000000000000001E-3</v>
      </c>
      <c r="J24" s="379"/>
    </row>
    <row r="25" spans="1:10" ht="12.95" customHeight="1" x14ac:dyDescent="0.2">
      <c r="A25" s="68"/>
      <c r="B25" s="72"/>
      <c r="C25" s="142"/>
      <c r="D25" s="73"/>
      <c r="E25" s="73"/>
      <c r="F25" s="261"/>
      <c r="G25" s="261"/>
      <c r="H25" s="251"/>
      <c r="I25" s="261"/>
      <c r="J25" s="261"/>
    </row>
    <row r="26" spans="1:10" ht="12.95" customHeight="1" x14ac:dyDescent="0.2">
      <c r="A26" s="68"/>
      <c r="B26" s="72"/>
      <c r="C26" s="142" t="s">
        <v>248</v>
      </c>
      <c r="D26" s="73"/>
      <c r="E26" s="73"/>
      <c r="F26" s="73"/>
      <c r="G26" s="97"/>
      <c r="H26" s="87"/>
      <c r="I26" s="73"/>
      <c r="J26" s="97"/>
    </row>
    <row r="27" spans="1:10" ht="12.95" customHeight="1" x14ac:dyDescent="0.2">
      <c r="A27" s="68"/>
      <c r="B27" s="72"/>
      <c r="C27" s="142"/>
      <c r="D27" s="73" t="s">
        <v>249</v>
      </c>
      <c r="E27" s="73"/>
      <c r="F27" s="259">
        <v>0.02</v>
      </c>
      <c r="G27" s="375">
        <f>F27*F28</f>
        <v>0.02</v>
      </c>
      <c r="H27" s="254"/>
      <c r="I27" s="259">
        <v>0.02</v>
      </c>
      <c r="J27" s="375">
        <f>I27*I28</f>
        <v>0.02</v>
      </c>
    </row>
    <row r="28" spans="1:10" ht="12.95" customHeight="1" x14ac:dyDescent="0.2">
      <c r="A28" s="68"/>
      <c r="B28" s="72"/>
      <c r="C28" s="142"/>
      <c r="D28" s="73" t="s">
        <v>250</v>
      </c>
      <c r="E28" s="73"/>
      <c r="F28" s="253">
        <v>1</v>
      </c>
      <c r="G28" s="375"/>
      <c r="H28" s="254"/>
      <c r="I28" s="253">
        <v>1</v>
      </c>
      <c r="J28" s="375"/>
    </row>
    <row r="29" spans="1:10" ht="12.95" customHeight="1" x14ac:dyDescent="0.2">
      <c r="A29" s="68"/>
      <c r="B29" s="72"/>
      <c r="C29" s="142"/>
      <c r="D29" s="73"/>
      <c r="E29" s="73"/>
      <c r="F29" s="261"/>
      <c r="G29" s="261"/>
      <c r="H29" s="251"/>
      <c r="I29" s="261"/>
      <c r="J29" s="261"/>
    </row>
    <row r="30" spans="1:10" ht="12.95" customHeight="1" x14ac:dyDescent="0.2">
      <c r="A30" s="68"/>
      <c r="B30" s="72"/>
      <c r="C30" s="142" t="s">
        <v>136</v>
      </c>
      <c r="D30" s="73"/>
      <c r="E30" s="73"/>
      <c r="F30" s="73"/>
      <c r="G30" s="97"/>
      <c r="H30" s="97"/>
      <c r="I30" s="73"/>
      <c r="J30" s="97"/>
    </row>
    <row r="31" spans="1:10" ht="12.95" customHeight="1" x14ac:dyDescent="0.2">
      <c r="A31" s="68"/>
      <c r="B31" s="72"/>
      <c r="C31" s="142"/>
      <c r="D31" s="73" t="s">
        <v>134</v>
      </c>
      <c r="E31" s="73"/>
      <c r="F31" s="274"/>
      <c r="G31" s="258">
        <v>20.4969</v>
      </c>
      <c r="H31" s="254"/>
      <c r="I31" s="274"/>
      <c r="J31" s="258">
        <v>20.4969</v>
      </c>
    </row>
    <row r="32" spans="1:10" ht="12.95" customHeight="1" x14ac:dyDescent="0.2">
      <c r="A32" s="68"/>
      <c r="B32" s="72"/>
      <c r="C32" s="142"/>
      <c r="D32" s="73" t="s">
        <v>251</v>
      </c>
      <c r="E32" s="73"/>
      <c r="F32" s="262"/>
      <c r="G32" s="97"/>
      <c r="H32" s="256"/>
      <c r="I32" s="262"/>
      <c r="J32" s="97"/>
    </row>
    <row r="33" spans="1:10" ht="12.95" customHeight="1" x14ac:dyDescent="0.2">
      <c r="A33" s="68"/>
      <c r="B33" s="72"/>
      <c r="C33" s="142"/>
      <c r="D33" s="73" t="s">
        <v>252</v>
      </c>
      <c r="E33" s="73"/>
      <c r="F33" s="273">
        <v>1</v>
      </c>
      <c r="G33" s="375">
        <f>F33*F34*F35</f>
        <v>1</v>
      </c>
      <c r="H33" s="256"/>
      <c r="I33" s="273">
        <v>1</v>
      </c>
      <c r="J33" s="375">
        <f>I33*I34*I35</f>
        <v>1</v>
      </c>
    </row>
    <row r="34" spans="1:10" ht="12.95" customHeight="1" x14ac:dyDescent="0.2">
      <c r="A34" s="68"/>
      <c r="B34" s="72"/>
      <c r="C34" s="142"/>
      <c r="D34" s="73" t="s">
        <v>253</v>
      </c>
      <c r="E34" s="73"/>
      <c r="F34" s="271">
        <v>1</v>
      </c>
      <c r="G34" s="375"/>
      <c r="H34" s="256"/>
      <c r="I34" s="271">
        <v>1</v>
      </c>
      <c r="J34" s="375"/>
    </row>
    <row r="35" spans="1:10" ht="12.95" customHeight="1" x14ac:dyDescent="0.2">
      <c r="A35" s="68"/>
      <c r="B35" s="72"/>
      <c r="C35" s="142"/>
      <c r="D35" s="73" t="s">
        <v>254</v>
      </c>
      <c r="E35" s="73"/>
      <c r="F35" s="259">
        <v>1</v>
      </c>
      <c r="G35" s="375"/>
      <c r="H35" s="256"/>
      <c r="I35" s="259">
        <v>1</v>
      </c>
      <c r="J35" s="375"/>
    </row>
    <row r="36" spans="1:10" ht="12.95" customHeight="1" x14ac:dyDescent="0.2">
      <c r="A36" s="68"/>
      <c r="B36" s="72"/>
      <c r="C36" s="142"/>
      <c r="D36" s="73" t="s">
        <v>255</v>
      </c>
      <c r="E36" s="73"/>
      <c r="F36" s="262"/>
      <c r="G36" s="97"/>
      <c r="H36" s="256"/>
      <c r="I36" s="262"/>
      <c r="J36" s="97"/>
    </row>
    <row r="37" spans="1:10" ht="12.95" customHeight="1" x14ac:dyDescent="0.2">
      <c r="A37" s="68"/>
      <c r="B37" s="72"/>
      <c r="C37" s="142"/>
      <c r="D37" s="73" t="s">
        <v>252</v>
      </c>
      <c r="E37" s="73"/>
      <c r="F37" s="270">
        <v>5.0000000000000001E-4</v>
      </c>
      <c r="G37" s="375">
        <f>F37*F38*F39</f>
        <v>5.1242249999999987E-3</v>
      </c>
      <c r="H37" s="256"/>
      <c r="I37" s="270">
        <v>5.0000000000000001E-4</v>
      </c>
      <c r="J37" s="375">
        <f>I37*I38*I39</f>
        <v>5.1242249999999987E-3</v>
      </c>
    </row>
    <row r="38" spans="1:10" ht="12.95" customHeight="1" x14ac:dyDescent="0.2">
      <c r="A38" s="68"/>
      <c r="B38" s="72"/>
      <c r="C38" s="142"/>
      <c r="D38" s="73" t="s">
        <v>253</v>
      </c>
      <c r="E38" s="73"/>
      <c r="F38" s="271">
        <v>15</v>
      </c>
      <c r="G38" s="375"/>
      <c r="H38" s="256"/>
      <c r="I38" s="271">
        <v>15</v>
      </c>
      <c r="J38" s="375"/>
    </row>
    <row r="39" spans="1:10" ht="12.95" customHeight="1" x14ac:dyDescent="0.2">
      <c r="A39" s="68"/>
      <c r="B39" s="72"/>
      <c r="C39" s="142"/>
      <c r="D39" s="73" t="s">
        <v>254</v>
      </c>
      <c r="E39" s="73"/>
      <c r="F39" s="257">
        <v>0.68322999999999989</v>
      </c>
      <c r="G39" s="375"/>
      <c r="H39" s="256"/>
      <c r="I39" s="257">
        <v>0.68322999999999989</v>
      </c>
      <c r="J39" s="375"/>
    </row>
    <row r="40" spans="1:10" ht="12.95" customHeight="1" x14ac:dyDescent="0.2">
      <c r="A40" s="68"/>
      <c r="B40" s="72"/>
      <c r="C40" s="142"/>
      <c r="D40" s="73" t="s">
        <v>256</v>
      </c>
      <c r="E40" s="73"/>
      <c r="F40" s="262"/>
      <c r="G40" s="97"/>
      <c r="H40" s="256"/>
      <c r="I40" s="262"/>
      <c r="J40" s="97"/>
    </row>
    <row r="41" spans="1:10" ht="12.95" customHeight="1" x14ac:dyDescent="0.2">
      <c r="A41" s="68"/>
      <c r="B41" s="72"/>
      <c r="C41" s="142"/>
      <c r="D41" s="73" t="s">
        <v>252</v>
      </c>
      <c r="E41" s="73"/>
      <c r="F41" s="270">
        <v>0.1656</v>
      </c>
      <c r="G41" s="375">
        <f>F41*F42*F43</f>
        <v>0</v>
      </c>
      <c r="H41" s="256"/>
      <c r="I41" s="270">
        <v>0.1656</v>
      </c>
      <c r="J41" s="375">
        <f>I41*I42*I43</f>
        <v>0.56571443999999993</v>
      </c>
    </row>
    <row r="42" spans="1:10" ht="12.95" customHeight="1" x14ac:dyDescent="0.2">
      <c r="A42" s="68"/>
      <c r="B42" s="72"/>
      <c r="C42" s="142"/>
      <c r="D42" s="73" t="s">
        <v>253</v>
      </c>
      <c r="E42" s="73"/>
      <c r="F42" s="271">
        <v>0</v>
      </c>
      <c r="G42" s="375"/>
      <c r="H42" s="256"/>
      <c r="I42" s="271">
        <v>5</v>
      </c>
      <c r="J42" s="375"/>
    </row>
    <row r="43" spans="1:10" ht="12.95" customHeight="1" x14ac:dyDescent="0.2">
      <c r="A43" s="68"/>
      <c r="B43" s="72"/>
      <c r="C43" s="142"/>
      <c r="D43" s="73" t="s">
        <v>254</v>
      </c>
      <c r="E43" s="73"/>
      <c r="F43" s="257">
        <v>0.68322999999999989</v>
      </c>
      <c r="G43" s="375"/>
      <c r="H43" s="256"/>
      <c r="I43" s="257">
        <v>0.68322999999999989</v>
      </c>
      <c r="J43" s="375"/>
    </row>
    <row r="44" spans="1:10" ht="12.95" customHeight="1" x14ac:dyDescent="0.2">
      <c r="A44" s="68"/>
      <c r="B44" s="72"/>
      <c r="C44" s="142"/>
      <c r="D44" s="73" t="s">
        <v>257</v>
      </c>
      <c r="E44" s="73"/>
      <c r="F44" s="262"/>
      <c r="G44" s="97"/>
      <c r="H44" s="256"/>
      <c r="I44" s="262"/>
      <c r="J44" s="97"/>
    </row>
    <row r="45" spans="1:10" ht="12.95" customHeight="1" x14ac:dyDescent="0.2">
      <c r="A45" s="68"/>
      <c r="B45" s="72"/>
      <c r="C45" s="142"/>
      <c r="D45" s="73" t="s">
        <v>252</v>
      </c>
      <c r="E45" s="73"/>
      <c r="F45" s="270">
        <f>G23</f>
        <v>3.3004999999999997E-4</v>
      </c>
      <c r="G45" s="375">
        <f>F45*F46*F47</f>
        <v>1.3530003689999996E-3</v>
      </c>
      <c r="H45" s="256"/>
      <c r="I45" s="270">
        <f>J23</f>
        <v>2.5417E-3</v>
      </c>
      <c r="J45" s="375">
        <f>I45*I46*I47</f>
        <v>1.0419394145999999E-2</v>
      </c>
    </row>
    <row r="46" spans="1:10" ht="12.95" customHeight="1" x14ac:dyDescent="0.2">
      <c r="A46" s="68"/>
      <c r="B46" s="72"/>
      <c r="C46" s="142"/>
      <c r="D46" s="73" t="s">
        <v>253</v>
      </c>
      <c r="E46" s="73"/>
      <c r="F46" s="271">
        <v>6</v>
      </c>
      <c r="G46" s="375"/>
      <c r="H46" s="256"/>
      <c r="I46" s="271">
        <v>6</v>
      </c>
      <c r="J46" s="375"/>
    </row>
    <row r="47" spans="1:10" ht="12.95" customHeight="1" x14ac:dyDescent="0.2">
      <c r="A47" s="68"/>
      <c r="B47" s="72"/>
      <c r="C47" s="142"/>
      <c r="D47" s="73" t="s">
        <v>254</v>
      </c>
      <c r="E47" s="73"/>
      <c r="F47" s="257">
        <v>0.68322999999999989</v>
      </c>
      <c r="G47" s="375"/>
      <c r="H47" s="256"/>
      <c r="I47" s="257">
        <v>0.68322999999999989</v>
      </c>
      <c r="J47" s="375"/>
    </row>
    <row r="48" spans="1:10" ht="12.95" customHeight="1" x14ac:dyDescent="0.2">
      <c r="A48" s="68"/>
      <c r="B48" s="72"/>
      <c r="C48" s="142"/>
      <c r="D48" s="73" t="s">
        <v>258</v>
      </c>
      <c r="E48" s="73"/>
      <c r="F48" s="262"/>
      <c r="G48" s="97"/>
      <c r="H48" s="256"/>
      <c r="I48" s="262"/>
      <c r="J48" s="97"/>
    </row>
    <row r="49" spans="1:10" ht="12.95" customHeight="1" x14ac:dyDescent="0.2">
      <c r="A49" s="68"/>
      <c r="B49" s="72"/>
      <c r="C49" s="142"/>
      <c r="D49" s="73" t="s">
        <v>252</v>
      </c>
      <c r="E49" s="73"/>
      <c r="F49" s="270">
        <f>G19</f>
        <v>3.8311109999999995E-2</v>
      </c>
      <c r="G49" s="375">
        <f>F49*F50*F51</f>
        <v>0.13087649842649995</v>
      </c>
      <c r="H49" s="256"/>
      <c r="I49" s="270">
        <f>J19</f>
        <v>1.1497139999999999E-2</v>
      </c>
      <c r="J49" s="375">
        <f>I49*I50*I51</f>
        <v>3.9275954810999991E-2</v>
      </c>
    </row>
    <row r="50" spans="1:10" ht="12.95" customHeight="1" x14ac:dyDescent="0.2">
      <c r="A50" s="68"/>
      <c r="B50" s="72"/>
      <c r="C50" s="142"/>
      <c r="D50" s="73" t="s">
        <v>253</v>
      </c>
      <c r="E50" s="73"/>
      <c r="F50" s="271">
        <v>5</v>
      </c>
      <c r="G50" s="375"/>
      <c r="H50" s="256"/>
      <c r="I50" s="271">
        <v>5</v>
      </c>
      <c r="J50" s="375"/>
    </row>
    <row r="51" spans="1:10" ht="12.95" customHeight="1" x14ac:dyDescent="0.2">
      <c r="A51" s="68"/>
      <c r="B51" s="72"/>
      <c r="C51" s="142"/>
      <c r="D51" s="73" t="s">
        <v>254</v>
      </c>
      <c r="E51" s="73"/>
      <c r="F51" s="257">
        <v>0.68322999999999989</v>
      </c>
      <c r="G51" s="375"/>
      <c r="H51" s="256"/>
      <c r="I51" s="257">
        <v>0.68322999999999989</v>
      </c>
      <c r="J51" s="375"/>
    </row>
    <row r="52" spans="1:10" ht="12.95" customHeight="1" x14ac:dyDescent="0.2">
      <c r="A52" s="68"/>
      <c r="B52" s="72"/>
      <c r="C52" s="142"/>
      <c r="D52" s="73" t="s">
        <v>259</v>
      </c>
      <c r="E52" s="73"/>
      <c r="F52" s="262"/>
      <c r="G52" s="97"/>
      <c r="H52" s="256"/>
      <c r="I52" s="262"/>
      <c r="J52" s="97"/>
    </row>
    <row r="53" spans="1:10" ht="12.95" customHeight="1" x14ac:dyDescent="0.2">
      <c r="A53" s="68"/>
      <c r="B53" s="72"/>
      <c r="C53" s="142"/>
      <c r="D53" s="73" t="s">
        <v>252</v>
      </c>
      <c r="E53" s="73"/>
      <c r="F53" s="270">
        <f>G16</f>
        <v>2.7799999999999998E-2</v>
      </c>
      <c r="G53" s="375">
        <f>F53*F54*F55</f>
        <v>7.5975175999999978E-2</v>
      </c>
      <c r="H53" s="256"/>
      <c r="I53" s="270">
        <f>J16</f>
        <v>2.7799999999999998E-2</v>
      </c>
      <c r="J53" s="375">
        <f>I53*I54*I55</f>
        <v>3.7987587999999989E-2</v>
      </c>
    </row>
    <row r="54" spans="1:10" ht="12.95" customHeight="1" x14ac:dyDescent="0.2">
      <c r="A54" s="68"/>
      <c r="B54" s="72"/>
      <c r="C54" s="142"/>
      <c r="D54" s="73" t="s">
        <v>253</v>
      </c>
      <c r="E54" s="73"/>
      <c r="F54" s="271">
        <v>4</v>
      </c>
      <c r="G54" s="375"/>
      <c r="H54" s="256"/>
      <c r="I54" s="271">
        <v>2</v>
      </c>
      <c r="J54" s="375"/>
    </row>
    <row r="55" spans="1:10" ht="12.95" customHeight="1" x14ac:dyDescent="0.2">
      <c r="A55" s="68"/>
      <c r="B55" s="72"/>
      <c r="C55" s="142"/>
      <c r="D55" s="73" t="s">
        <v>254</v>
      </c>
      <c r="E55" s="73"/>
      <c r="F55" s="257">
        <v>0.68322999999999989</v>
      </c>
      <c r="G55" s="375"/>
      <c r="H55" s="256"/>
      <c r="I55" s="257">
        <v>0.68322999999999989</v>
      </c>
      <c r="J55" s="375"/>
    </row>
    <row r="56" spans="1:10" ht="12.95" customHeight="1" x14ac:dyDescent="0.2">
      <c r="A56" s="68"/>
      <c r="B56" s="72"/>
      <c r="C56" s="142"/>
      <c r="D56" s="73" t="s">
        <v>260</v>
      </c>
      <c r="E56" s="73"/>
      <c r="F56" s="262"/>
      <c r="G56" s="97"/>
      <c r="H56" s="256"/>
      <c r="I56" s="262"/>
      <c r="J56" s="97"/>
    </row>
    <row r="57" spans="1:10" ht="12.95" customHeight="1" x14ac:dyDescent="0.2">
      <c r="A57" s="68"/>
      <c r="B57" s="72"/>
      <c r="C57" s="142"/>
      <c r="D57" s="73" t="s">
        <v>252</v>
      </c>
      <c r="E57" s="73"/>
      <c r="F57" s="270">
        <v>0.02</v>
      </c>
      <c r="G57" s="375">
        <f>F57*F58*F59</f>
        <v>5.4658399999999996E-2</v>
      </c>
      <c r="H57" s="256"/>
      <c r="I57" s="270">
        <v>0.02</v>
      </c>
      <c r="J57" s="375">
        <f>I57*I58*I59</f>
        <v>4.099379999999999E-2</v>
      </c>
    </row>
    <row r="58" spans="1:10" ht="12.95" customHeight="1" x14ac:dyDescent="0.2">
      <c r="A58" s="68"/>
      <c r="B58" s="72"/>
      <c r="C58" s="142"/>
      <c r="D58" s="73" t="s">
        <v>253</v>
      </c>
      <c r="E58" s="73"/>
      <c r="F58" s="271">
        <v>4</v>
      </c>
      <c r="G58" s="375"/>
      <c r="H58" s="256"/>
      <c r="I58" s="271">
        <v>3</v>
      </c>
      <c r="J58" s="375"/>
    </row>
    <row r="59" spans="1:10" ht="12.95" customHeight="1" x14ac:dyDescent="0.2">
      <c r="A59" s="68"/>
      <c r="B59" s="72"/>
      <c r="C59" s="142"/>
      <c r="D59" s="73" t="s">
        <v>254</v>
      </c>
      <c r="E59" s="73"/>
      <c r="F59" s="257">
        <v>0.68322999999999989</v>
      </c>
      <c r="G59" s="375"/>
      <c r="H59" s="256"/>
      <c r="I59" s="257">
        <v>0.68322999999999989</v>
      </c>
      <c r="J59" s="375"/>
    </row>
    <row r="60" spans="1:10" ht="12.95" customHeight="1" x14ac:dyDescent="0.2">
      <c r="A60" s="68"/>
      <c r="B60" s="72"/>
      <c r="C60" s="142"/>
      <c r="D60" s="73" t="s">
        <v>261</v>
      </c>
      <c r="E60" s="73"/>
      <c r="F60" s="262"/>
      <c r="G60" s="97"/>
      <c r="H60" s="256"/>
      <c r="I60" s="262"/>
      <c r="J60" s="97"/>
    </row>
    <row r="61" spans="1:10" ht="12.95" customHeight="1" x14ac:dyDescent="0.2">
      <c r="A61" s="68"/>
      <c r="B61" s="72"/>
      <c r="C61" s="142"/>
      <c r="D61" s="73" t="s">
        <v>252</v>
      </c>
      <c r="E61" s="73"/>
      <c r="F61" s="270">
        <f>G27</f>
        <v>0.02</v>
      </c>
      <c r="G61" s="375">
        <f>F61*F62*F63</f>
        <v>1.3664599999999999E-2</v>
      </c>
      <c r="H61" s="256"/>
      <c r="I61" s="270">
        <v>1</v>
      </c>
      <c r="J61" s="375">
        <f>I61*I62*I63</f>
        <v>0.68322999999999989</v>
      </c>
    </row>
    <row r="62" spans="1:10" ht="12.95" customHeight="1" x14ac:dyDescent="0.2">
      <c r="A62" s="68"/>
      <c r="B62" s="72"/>
      <c r="C62" s="142"/>
      <c r="D62" s="73" t="s">
        <v>253</v>
      </c>
      <c r="E62" s="73"/>
      <c r="F62" s="271">
        <v>1</v>
      </c>
      <c r="G62" s="375"/>
      <c r="H62" s="256"/>
      <c r="I62" s="271">
        <v>1</v>
      </c>
      <c r="J62" s="375"/>
    </row>
    <row r="63" spans="1:10" ht="12.95" customHeight="1" x14ac:dyDescent="0.2">
      <c r="A63" s="68"/>
      <c r="B63" s="72"/>
      <c r="C63" s="142"/>
      <c r="D63" s="73" t="s">
        <v>254</v>
      </c>
      <c r="E63" s="73"/>
      <c r="F63" s="257">
        <v>0.68322999999999989</v>
      </c>
      <c r="G63" s="375"/>
      <c r="H63" s="256"/>
      <c r="I63" s="257">
        <v>0.68322999999999989</v>
      </c>
      <c r="J63" s="375"/>
    </row>
    <row r="64" spans="1:10" ht="12.95" customHeight="1" x14ac:dyDescent="0.2">
      <c r="A64" s="68"/>
      <c r="B64" s="72"/>
      <c r="C64" s="142"/>
      <c r="D64" s="73" t="s">
        <v>262</v>
      </c>
      <c r="E64" s="73"/>
      <c r="F64" s="262"/>
      <c r="G64" s="97"/>
      <c r="H64" s="256"/>
      <c r="I64" s="262"/>
      <c r="J64" s="97"/>
    </row>
    <row r="65" spans="1:10" ht="12.95" customHeight="1" x14ac:dyDescent="0.2">
      <c r="A65" s="68"/>
      <c r="B65" s="72"/>
      <c r="C65" s="142"/>
      <c r="D65" s="73" t="s">
        <v>252</v>
      </c>
      <c r="E65" s="73"/>
      <c r="F65" s="279">
        <v>0.02</v>
      </c>
      <c r="G65" s="375">
        <f>F65*F66*F67</f>
        <v>0.08</v>
      </c>
      <c r="H65" s="256"/>
      <c r="I65" s="279">
        <v>0.02</v>
      </c>
      <c r="J65" s="375">
        <f>I65*I66*I67</f>
        <v>0.08</v>
      </c>
    </row>
    <row r="66" spans="1:10" ht="12.95" customHeight="1" x14ac:dyDescent="0.2">
      <c r="A66" s="68"/>
      <c r="B66" s="72"/>
      <c r="C66" s="142"/>
      <c r="D66" s="73" t="s">
        <v>263</v>
      </c>
      <c r="E66" s="73"/>
      <c r="F66" s="272">
        <v>4</v>
      </c>
      <c r="G66" s="375"/>
      <c r="H66" s="256"/>
      <c r="I66" s="272">
        <v>4</v>
      </c>
      <c r="J66" s="375"/>
    </row>
    <row r="67" spans="1:10" ht="12.95" customHeight="1" x14ac:dyDescent="0.2">
      <c r="A67" s="68"/>
      <c r="B67" s="72"/>
      <c r="C67" s="142"/>
      <c r="D67" s="73" t="s">
        <v>254</v>
      </c>
      <c r="E67" s="73"/>
      <c r="F67" s="259">
        <v>1</v>
      </c>
      <c r="G67" s="375"/>
      <c r="H67" s="256"/>
      <c r="I67" s="259">
        <v>1</v>
      </c>
      <c r="J67" s="375"/>
    </row>
    <row r="68" spans="1:10" ht="12.95" customHeight="1" x14ac:dyDescent="0.2">
      <c r="A68" s="68"/>
      <c r="B68" s="72"/>
      <c r="C68" s="142"/>
      <c r="D68" s="73" t="s">
        <v>264</v>
      </c>
      <c r="E68" s="73"/>
      <c r="F68" s="262"/>
      <c r="G68" s="97"/>
      <c r="H68" s="256"/>
      <c r="I68" s="262"/>
      <c r="J68" s="97"/>
    </row>
    <row r="69" spans="1:10" ht="12.95" customHeight="1" x14ac:dyDescent="0.2">
      <c r="A69" s="68"/>
      <c r="B69" s="72"/>
      <c r="C69" s="142"/>
      <c r="D69" s="73" t="s">
        <v>252</v>
      </c>
      <c r="E69" s="73"/>
      <c r="F69" s="270">
        <v>0</v>
      </c>
      <c r="G69" s="375">
        <f>F69*F70*F71</f>
        <v>0</v>
      </c>
      <c r="H69" s="256"/>
      <c r="I69" s="270">
        <v>0</v>
      </c>
      <c r="J69" s="375">
        <f>I69*I70*I71</f>
        <v>0</v>
      </c>
    </row>
    <row r="70" spans="1:10" ht="12.95" customHeight="1" x14ac:dyDescent="0.2">
      <c r="A70" s="68"/>
      <c r="B70" s="72"/>
      <c r="C70" s="142"/>
      <c r="D70" s="73" t="s">
        <v>263</v>
      </c>
      <c r="E70" s="73"/>
      <c r="F70" s="271">
        <v>2</v>
      </c>
      <c r="G70" s="375"/>
      <c r="H70" s="256"/>
      <c r="I70" s="271">
        <v>2</v>
      </c>
      <c r="J70" s="375"/>
    </row>
    <row r="71" spans="1:10" ht="12.95" customHeight="1" x14ac:dyDescent="0.2">
      <c r="A71" s="68"/>
      <c r="B71" s="72"/>
      <c r="C71" s="142"/>
      <c r="D71" s="73" t="s">
        <v>254</v>
      </c>
      <c r="E71" s="73"/>
      <c r="F71" s="259">
        <v>1</v>
      </c>
      <c r="G71" s="375"/>
      <c r="H71" s="256"/>
      <c r="I71" s="259">
        <v>1</v>
      </c>
      <c r="J71" s="375"/>
    </row>
    <row r="72" spans="1:10" ht="12.95" customHeight="1" x14ac:dyDescent="0.2">
      <c r="A72" s="68"/>
      <c r="B72" s="72"/>
      <c r="C72" s="142"/>
      <c r="D72" s="73" t="s">
        <v>265</v>
      </c>
      <c r="E72" s="73"/>
      <c r="F72" s="262"/>
      <c r="G72" s="97"/>
      <c r="H72" s="256"/>
      <c r="I72" s="262"/>
      <c r="J72" s="97"/>
    </row>
    <row r="73" spans="1:10" ht="12.95" customHeight="1" x14ac:dyDescent="0.2">
      <c r="A73" s="68"/>
      <c r="B73" s="72"/>
      <c r="C73" s="142"/>
      <c r="D73" s="73" t="s">
        <v>252</v>
      </c>
      <c r="E73" s="73"/>
      <c r="F73" s="270">
        <v>0</v>
      </c>
      <c r="G73" s="375">
        <f>F73*F74*F75</f>
        <v>0</v>
      </c>
      <c r="H73" s="256"/>
      <c r="I73" s="270">
        <v>0</v>
      </c>
      <c r="J73" s="375">
        <f>I73*I74*I75</f>
        <v>0</v>
      </c>
    </row>
    <row r="74" spans="1:10" ht="12.95" customHeight="1" x14ac:dyDescent="0.2">
      <c r="A74" s="68"/>
      <c r="B74" s="72"/>
      <c r="C74" s="142"/>
      <c r="D74" s="73" t="s">
        <v>263</v>
      </c>
      <c r="E74" s="73"/>
      <c r="F74" s="271">
        <v>1</v>
      </c>
      <c r="G74" s="375"/>
      <c r="H74" s="256"/>
      <c r="I74" s="271">
        <v>1</v>
      </c>
      <c r="J74" s="375"/>
    </row>
    <row r="75" spans="1:10" ht="12.95" customHeight="1" x14ac:dyDescent="0.2">
      <c r="A75" s="68"/>
      <c r="B75" s="72"/>
      <c r="C75" s="142"/>
      <c r="D75" s="73" t="s">
        <v>254</v>
      </c>
      <c r="E75" s="73"/>
      <c r="F75" s="259">
        <v>1</v>
      </c>
      <c r="G75" s="375"/>
      <c r="H75" s="256"/>
      <c r="I75" s="259">
        <v>1</v>
      </c>
      <c r="J75" s="375"/>
    </row>
    <row r="76" spans="1:10" ht="12.95" customHeight="1" x14ac:dyDescent="0.2">
      <c r="A76" s="68"/>
      <c r="B76" s="72"/>
      <c r="C76" s="142"/>
      <c r="D76" s="73" t="s">
        <v>266</v>
      </c>
      <c r="E76" s="73"/>
      <c r="F76" s="262"/>
      <c r="G76" s="97"/>
      <c r="H76" s="256"/>
      <c r="I76" s="262"/>
      <c r="J76" s="97"/>
    </row>
    <row r="77" spans="1:10" ht="12.95" customHeight="1" x14ac:dyDescent="0.2">
      <c r="A77" s="68"/>
      <c r="B77" s="72"/>
      <c r="C77" s="142"/>
      <c r="D77" s="73" t="s">
        <v>252</v>
      </c>
      <c r="E77" s="73"/>
      <c r="F77" s="270">
        <v>0</v>
      </c>
      <c r="G77" s="375">
        <f>F77*F78*F79</f>
        <v>0</v>
      </c>
      <c r="H77" s="256"/>
      <c r="I77" s="270">
        <v>0</v>
      </c>
      <c r="J77" s="375">
        <f>I77*I78*I79</f>
        <v>0</v>
      </c>
    </row>
    <row r="78" spans="1:10" ht="12.95" customHeight="1" x14ac:dyDescent="0.2">
      <c r="A78" s="68"/>
      <c r="B78" s="72"/>
      <c r="C78" s="142"/>
      <c r="D78" s="73" t="s">
        <v>263</v>
      </c>
      <c r="E78" s="73"/>
      <c r="F78" s="271">
        <v>2</v>
      </c>
      <c r="G78" s="375"/>
      <c r="H78" s="256"/>
      <c r="I78" s="271">
        <v>2</v>
      </c>
      <c r="J78" s="375"/>
    </row>
    <row r="79" spans="1:10" ht="12.95" customHeight="1" x14ac:dyDescent="0.2">
      <c r="A79" s="68"/>
      <c r="B79" s="72"/>
      <c r="C79" s="142"/>
      <c r="D79" s="73" t="s">
        <v>254</v>
      </c>
      <c r="E79" s="73"/>
      <c r="F79" s="257">
        <v>0.68322999999999989</v>
      </c>
      <c r="G79" s="375"/>
      <c r="H79" s="256"/>
      <c r="I79" s="257">
        <v>0.68322999999999989</v>
      </c>
      <c r="J79" s="375"/>
    </row>
    <row r="80" spans="1:10" ht="12.95" customHeight="1" x14ac:dyDescent="0.2">
      <c r="A80" s="68"/>
      <c r="B80" s="72"/>
      <c r="C80" s="142"/>
      <c r="D80" s="73" t="s">
        <v>267</v>
      </c>
      <c r="E80" s="73"/>
      <c r="F80" s="262"/>
      <c r="G80" s="97"/>
      <c r="H80" s="256"/>
      <c r="I80" s="262"/>
      <c r="J80" s="97"/>
    </row>
    <row r="81" spans="1:10" ht="12.95" customHeight="1" x14ac:dyDescent="0.2">
      <c r="A81" s="68"/>
      <c r="B81" s="72"/>
      <c r="C81" s="142"/>
      <c r="D81" s="73" t="s">
        <v>252</v>
      </c>
      <c r="E81" s="73"/>
      <c r="F81" s="270">
        <v>4.0000000000000001E-3</v>
      </c>
      <c r="G81" s="375">
        <f>F81*F82*F83</f>
        <v>4.0000000000000001E-3</v>
      </c>
      <c r="H81" s="256"/>
      <c r="I81" s="270">
        <v>0.01</v>
      </c>
      <c r="J81" s="375">
        <f>I81*I82*I83</f>
        <v>0.01</v>
      </c>
    </row>
    <row r="82" spans="1:10" ht="12.95" customHeight="1" x14ac:dyDescent="0.2">
      <c r="A82" s="68"/>
      <c r="B82" s="72"/>
      <c r="C82" s="142"/>
      <c r="D82" s="73" t="s">
        <v>263</v>
      </c>
      <c r="E82" s="73"/>
      <c r="F82" s="271">
        <v>1</v>
      </c>
      <c r="G82" s="375"/>
      <c r="H82" s="256"/>
      <c r="I82" s="271">
        <v>1</v>
      </c>
      <c r="J82" s="375"/>
    </row>
    <row r="83" spans="1:10" ht="12.95" customHeight="1" x14ac:dyDescent="0.2">
      <c r="A83" s="68"/>
      <c r="B83" s="72"/>
      <c r="C83" s="142"/>
      <c r="D83" s="73" t="s">
        <v>254</v>
      </c>
      <c r="E83" s="73"/>
      <c r="F83" s="259">
        <v>1</v>
      </c>
      <c r="G83" s="375"/>
      <c r="H83" s="256"/>
      <c r="I83" s="259">
        <v>1</v>
      </c>
      <c r="J83" s="375"/>
    </row>
    <row r="84" spans="1:10" ht="12.95" customHeight="1" x14ac:dyDescent="0.2">
      <c r="A84" s="68"/>
      <c r="B84" s="72"/>
      <c r="C84" s="142"/>
      <c r="D84" s="73" t="s">
        <v>268</v>
      </c>
      <c r="E84" s="73"/>
      <c r="F84" s="263"/>
      <c r="G84" s="97"/>
      <c r="H84" s="256"/>
      <c r="I84" s="263"/>
      <c r="J84" s="97"/>
    </row>
    <row r="85" spans="1:10" ht="12.95" customHeight="1" x14ac:dyDescent="0.2">
      <c r="A85" s="68"/>
      <c r="B85" s="72"/>
      <c r="C85" s="142"/>
      <c r="D85" s="73" t="s">
        <v>252</v>
      </c>
      <c r="E85" s="73"/>
      <c r="F85" s="270">
        <v>1</v>
      </c>
      <c r="G85" s="375">
        <f>F85*F86*F87</f>
        <v>4</v>
      </c>
      <c r="H85" s="256"/>
      <c r="I85" s="270">
        <v>0</v>
      </c>
      <c r="J85" s="375">
        <f>I85*I86*I87</f>
        <v>0</v>
      </c>
    </row>
    <row r="86" spans="1:10" ht="12.95" customHeight="1" x14ac:dyDescent="0.2">
      <c r="A86" s="68"/>
      <c r="B86" s="72"/>
      <c r="C86" s="142"/>
      <c r="D86" s="73" t="s">
        <v>263</v>
      </c>
      <c r="E86" s="73"/>
      <c r="F86" s="271">
        <v>4</v>
      </c>
      <c r="G86" s="375"/>
      <c r="H86" s="256"/>
      <c r="I86" s="271">
        <v>1</v>
      </c>
      <c r="J86" s="375"/>
    </row>
    <row r="87" spans="1:10" ht="12.95" customHeight="1" x14ac:dyDescent="0.2">
      <c r="A87" s="68"/>
      <c r="B87" s="72"/>
      <c r="C87" s="142"/>
      <c r="D87" s="73" t="s">
        <v>254</v>
      </c>
      <c r="E87" s="73"/>
      <c r="F87" s="259">
        <v>1</v>
      </c>
      <c r="G87" s="375"/>
      <c r="H87" s="256"/>
      <c r="I87" s="259">
        <v>1</v>
      </c>
      <c r="J87" s="375"/>
    </row>
    <row r="88" spans="1:10" ht="12.95" customHeight="1" x14ac:dyDescent="0.2">
      <c r="A88" s="68"/>
      <c r="B88" s="72"/>
      <c r="C88" s="142"/>
      <c r="D88" s="73" t="s">
        <v>269</v>
      </c>
      <c r="E88" s="73"/>
      <c r="F88" s="262"/>
      <c r="G88" s="97"/>
      <c r="H88" s="256"/>
      <c r="I88" s="262"/>
      <c r="J88" s="97"/>
    </row>
    <row r="89" spans="1:10" ht="12.95" customHeight="1" x14ac:dyDescent="0.2">
      <c r="A89" s="68"/>
      <c r="B89" s="72"/>
      <c r="C89" s="142"/>
      <c r="D89" s="73" t="s">
        <v>252</v>
      </c>
      <c r="E89" s="73"/>
      <c r="F89" s="270">
        <v>1.2999999999999999E-3</v>
      </c>
      <c r="G89" s="375">
        <f>F89*F90*F91</f>
        <v>1.2999999999999999E-3</v>
      </c>
      <c r="H89" s="256"/>
      <c r="I89" s="270">
        <v>5.9999999999999995E-4</v>
      </c>
      <c r="J89" s="375">
        <f>I89*I90*I91</f>
        <v>5.9999999999999995E-4</v>
      </c>
    </row>
    <row r="90" spans="1:10" ht="12.95" customHeight="1" x14ac:dyDescent="0.2">
      <c r="A90" s="68"/>
      <c r="B90" s="72"/>
      <c r="C90" s="142"/>
      <c r="D90" s="73" t="s">
        <v>263</v>
      </c>
      <c r="E90" s="73"/>
      <c r="F90" s="271">
        <v>1</v>
      </c>
      <c r="G90" s="375"/>
      <c r="H90" s="256"/>
      <c r="I90" s="271">
        <v>1</v>
      </c>
      <c r="J90" s="375"/>
    </row>
    <row r="91" spans="1:10" ht="12.95" customHeight="1" x14ac:dyDescent="0.2">
      <c r="A91" s="68"/>
      <c r="B91" s="72"/>
      <c r="C91" s="142"/>
      <c r="D91" s="73" t="s">
        <v>254</v>
      </c>
      <c r="E91" s="73"/>
      <c r="F91" s="259">
        <v>1</v>
      </c>
      <c r="G91" s="375"/>
      <c r="H91" s="256"/>
      <c r="I91" s="259">
        <v>1</v>
      </c>
      <c r="J91" s="375"/>
    </row>
    <row r="92" spans="1:10" ht="12.95" customHeight="1" thickBot="1" x14ac:dyDescent="0.25">
      <c r="A92" s="68"/>
      <c r="B92" s="72"/>
      <c r="C92" s="142"/>
      <c r="D92" s="96"/>
      <c r="E92" s="96"/>
      <c r="F92" s="264"/>
      <c r="G92" s="97"/>
      <c r="H92" s="256"/>
      <c r="I92" s="86"/>
      <c r="J92" s="86"/>
    </row>
    <row r="93" spans="1:10" ht="12.95" customHeight="1" thickBot="1" x14ac:dyDescent="0.25">
      <c r="A93" s="68"/>
      <c r="B93" s="72"/>
      <c r="C93" s="142"/>
      <c r="D93" s="265" t="s">
        <v>270</v>
      </c>
      <c r="E93" s="266"/>
      <c r="F93" s="267"/>
      <c r="G93" s="268">
        <f>G33+G37+G41+G45+G49+G53+G57+G61+G65+G69+G73+G77+G81+G85+G89+G31</f>
        <v>25.863851899795499</v>
      </c>
      <c r="H93" s="256"/>
      <c r="I93" s="267"/>
      <c r="J93" s="268">
        <f>J33+J37+J41+J45+J49+J53+J57+J61+J65+J69+J73+J77+J81+J85+J89+J31</f>
        <v>22.970245401957001</v>
      </c>
    </row>
    <row r="94" spans="1:10" ht="12.95" customHeight="1" x14ac:dyDescent="0.2">
      <c r="A94" s="68"/>
      <c r="B94" s="72"/>
      <c r="C94" s="142"/>
      <c r="D94" s="73"/>
      <c r="E94" s="73"/>
      <c r="F94" s="262"/>
      <c r="G94" s="87"/>
      <c r="H94" s="256"/>
      <c r="I94" s="252"/>
      <c r="J94" s="252"/>
    </row>
    <row r="95" spans="1:10" ht="12.95" customHeight="1" x14ac:dyDescent="0.2">
      <c r="A95" s="68"/>
      <c r="B95" s="72"/>
      <c r="C95" s="142"/>
      <c r="D95" s="73"/>
      <c r="E95" s="73"/>
      <c r="F95" s="371" t="s">
        <v>277</v>
      </c>
      <c r="G95" s="372"/>
      <c r="H95" s="90"/>
      <c r="I95" s="373" t="s">
        <v>278</v>
      </c>
      <c r="J95" s="374"/>
    </row>
    <row r="96" spans="1:10" ht="12.95" customHeight="1" x14ac:dyDescent="0.2">
      <c r="A96" s="68"/>
      <c r="B96" s="72"/>
      <c r="C96" s="142"/>
      <c r="D96" s="73" t="s">
        <v>271</v>
      </c>
      <c r="E96" s="73"/>
      <c r="F96" s="262"/>
      <c r="G96" s="284">
        <v>0.31677</v>
      </c>
      <c r="H96" s="256"/>
      <c r="I96" s="262"/>
      <c r="J96" s="284">
        <v>0.31677</v>
      </c>
    </row>
    <row r="97" spans="1:10" ht="12.95" customHeight="1" x14ac:dyDescent="0.2">
      <c r="A97" s="68"/>
      <c r="B97" s="72"/>
      <c r="C97" s="142"/>
      <c r="D97" s="73" t="s">
        <v>272</v>
      </c>
      <c r="E97" s="73"/>
      <c r="F97" s="262"/>
      <c r="G97" s="269">
        <v>249.55</v>
      </c>
      <c r="H97" s="256"/>
      <c r="I97" s="262"/>
      <c r="J97" s="269">
        <v>249.55</v>
      </c>
    </row>
    <row r="98" spans="1:10" ht="12.95" customHeight="1" thickBot="1" x14ac:dyDescent="0.25">
      <c r="A98" s="68"/>
      <c r="B98" s="72"/>
      <c r="C98" s="142"/>
      <c r="D98" s="96" t="s">
        <v>273</v>
      </c>
      <c r="E98" s="96"/>
      <c r="F98" s="264"/>
      <c r="G98" s="286">
        <v>25.86</v>
      </c>
      <c r="H98" s="256"/>
      <c r="I98" s="264"/>
      <c r="J98" s="286">
        <v>22.97</v>
      </c>
    </row>
    <row r="99" spans="1:10" ht="12.95" customHeight="1" thickBot="1" x14ac:dyDescent="0.25">
      <c r="A99" s="68"/>
      <c r="B99" s="72"/>
      <c r="C99" s="142"/>
      <c r="D99" s="265" t="s">
        <v>274</v>
      </c>
      <c r="E99" s="266"/>
      <c r="F99" s="267"/>
      <c r="G99" s="287">
        <f>G93/(G97-G98)</f>
        <v>0.1156236394107716</v>
      </c>
      <c r="H99" s="256"/>
      <c r="I99" s="285"/>
      <c r="J99" s="287">
        <f>J93/(J97-J98)</f>
        <v>0.10137808015692912</v>
      </c>
    </row>
    <row r="100" spans="1:10" ht="12.95" customHeight="1" x14ac:dyDescent="0.2">
      <c r="A100" s="68"/>
      <c r="B100" s="110"/>
      <c r="C100" s="100"/>
      <c r="D100" s="100"/>
      <c r="E100" s="100"/>
      <c r="F100" s="79"/>
      <c r="G100" s="87"/>
      <c r="H100" s="79"/>
    </row>
    <row r="101" spans="1:10" ht="12.95" customHeight="1" x14ac:dyDescent="0.2">
      <c r="A101" s="68"/>
      <c r="B101" s="72"/>
      <c r="C101" s="142"/>
      <c r="D101" s="73"/>
      <c r="E101" s="73"/>
      <c r="F101" s="368" t="s">
        <v>277</v>
      </c>
      <c r="G101" s="369"/>
      <c r="H101" s="90"/>
      <c r="I101" s="368" t="s">
        <v>278</v>
      </c>
      <c r="J101" s="369"/>
    </row>
    <row r="102" spans="1:10" ht="12.95" customHeight="1" x14ac:dyDescent="0.2">
      <c r="A102" s="68"/>
      <c r="B102" s="72"/>
      <c r="C102" s="142"/>
      <c r="D102" s="73"/>
      <c r="E102" s="73"/>
      <c r="F102" s="280" t="s">
        <v>275</v>
      </c>
      <c r="G102" s="281" t="s">
        <v>276</v>
      </c>
      <c r="H102" s="256"/>
      <c r="I102" s="280" t="s">
        <v>275</v>
      </c>
      <c r="J102" s="281" t="s">
        <v>276</v>
      </c>
    </row>
    <row r="103" spans="1:10" ht="12.95" customHeight="1" x14ac:dyDescent="0.2">
      <c r="A103" s="68"/>
      <c r="B103" s="72"/>
      <c r="C103" s="142"/>
      <c r="D103" s="73" t="s">
        <v>134</v>
      </c>
      <c r="E103" s="73"/>
      <c r="F103" s="282">
        <f>G99/G93*G31</f>
        <v>9.1630828378559626E-2</v>
      </c>
      <c r="G103" s="288">
        <f>100%-F103</f>
        <v>0.90836917162144037</v>
      </c>
      <c r="H103" s="256"/>
      <c r="I103" s="282">
        <f>J99/J93*J31</f>
        <v>9.0462088445582123E-2</v>
      </c>
      <c r="J103" s="288">
        <f>100%-I103</f>
        <v>0.90953791155441788</v>
      </c>
    </row>
    <row r="104" spans="1:10" ht="12.95" customHeight="1" x14ac:dyDescent="0.2">
      <c r="A104" s="68"/>
      <c r="B104" s="72"/>
      <c r="C104" s="142"/>
      <c r="D104" s="73" t="s">
        <v>136</v>
      </c>
      <c r="E104" s="73"/>
      <c r="F104" s="282">
        <f>G99/G93*(G93-G31)</f>
        <v>2.3992811032211986E-2</v>
      </c>
      <c r="G104" s="288">
        <f>100%-F104</f>
        <v>0.97600718896778804</v>
      </c>
      <c r="H104" s="256"/>
      <c r="I104" s="282">
        <f>J99/J93*(J93-J31)</f>
        <v>1.091599171134699E-2</v>
      </c>
      <c r="J104" s="288">
        <f>100%-I104</f>
        <v>0.98908400828865306</v>
      </c>
    </row>
    <row r="105" spans="1:10" ht="12.95" customHeight="1" x14ac:dyDescent="0.2">
      <c r="A105" s="68"/>
      <c r="B105" s="72"/>
      <c r="C105" s="142"/>
      <c r="D105" s="73"/>
      <c r="E105" s="73"/>
      <c r="F105" s="282"/>
      <c r="G105" s="283"/>
      <c r="H105" s="256"/>
      <c r="I105" s="282"/>
      <c r="J105" s="283"/>
    </row>
    <row r="106" spans="1:10" ht="20.100000000000001" customHeight="1" x14ac:dyDescent="0.2">
      <c r="A106" s="68"/>
      <c r="B106" s="110"/>
      <c r="C106" s="100"/>
      <c r="D106" s="100"/>
      <c r="E106" s="100"/>
      <c r="F106" s="87"/>
      <c r="G106" s="87"/>
      <c r="H106" s="79"/>
    </row>
    <row r="107" spans="1:10" s="68" customFormat="1" ht="12.95" customHeight="1" x14ac:dyDescent="0.2">
      <c r="B107" s="69" t="s">
        <v>137</v>
      </c>
      <c r="C107" s="70"/>
      <c r="D107" s="70"/>
      <c r="E107" s="70"/>
      <c r="F107" s="70"/>
      <c r="G107" s="70"/>
      <c r="H107" s="70"/>
    </row>
    <row r="108" spans="1:10" s="68" customFormat="1" ht="20.100000000000001" customHeight="1" x14ac:dyDescent="0.2">
      <c r="B108" s="138"/>
      <c r="C108" s="71"/>
      <c r="D108" s="71"/>
      <c r="E108" s="71"/>
      <c r="F108" s="368" t="s">
        <v>277</v>
      </c>
      <c r="G108" s="369"/>
      <c r="H108" s="90"/>
      <c r="I108" s="368" t="s">
        <v>278</v>
      </c>
      <c r="J108" s="369"/>
    </row>
    <row r="109" spans="1:10" ht="12.95" customHeight="1" x14ac:dyDescent="0.2">
      <c r="A109" s="68"/>
      <c r="B109" s="139"/>
      <c r="C109" s="142" t="s">
        <v>138</v>
      </c>
      <c r="D109" s="100"/>
      <c r="E109" s="100"/>
      <c r="F109" s="363"/>
      <c r="G109" s="364"/>
      <c r="H109" s="90"/>
      <c r="I109" s="363"/>
      <c r="J109" s="365"/>
    </row>
    <row r="110" spans="1:10" ht="12.95" customHeight="1" x14ac:dyDescent="0.2">
      <c r="A110" s="68"/>
      <c r="B110" s="72"/>
      <c r="C110" s="140"/>
      <c r="D110" s="73" t="s">
        <v>279</v>
      </c>
      <c r="E110" s="73"/>
      <c r="F110" s="362">
        <v>40.08</v>
      </c>
      <c r="G110" s="370"/>
      <c r="H110" s="90"/>
      <c r="I110" s="362">
        <v>40.08</v>
      </c>
      <c r="J110" s="360"/>
    </row>
    <row r="111" spans="1:10" ht="12.95" customHeight="1" x14ac:dyDescent="0.2">
      <c r="A111" s="68"/>
      <c r="B111" s="72"/>
      <c r="C111" s="140"/>
      <c r="D111" s="73" t="s">
        <v>280</v>
      </c>
      <c r="E111" s="73"/>
      <c r="F111" s="362">
        <v>30</v>
      </c>
      <c r="G111" s="370"/>
      <c r="H111" s="90"/>
      <c r="I111" s="362">
        <v>30</v>
      </c>
      <c r="J111" s="360"/>
    </row>
    <row r="112" spans="1:10" ht="12.95" customHeight="1" x14ac:dyDescent="0.2">
      <c r="A112" s="68"/>
      <c r="B112" s="72"/>
      <c r="C112" s="140"/>
      <c r="D112" s="73" t="s">
        <v>281</v>
      </c>
      <c r="E112" s="73"/>
      <c r="F112" s="362">
        <v>9</v>
      </c>
      <c r="G112" s="370"/>
      <c r="H112" s="90"/>
      <c r="I112" s="362">
        <v>9</v>
      </c>
      <c r="J112" s="360"/>
    </row>
    <row r="113" spans="1:10" ht="12.95" customHeight="1" x14ac:dyDescent="0.2">
      <c r="A113" s="68"/>
      <c r="B113" s="72"/>
      <c r="C113" s="140"/>
      <c r="D113" s="73" t="s">
        <v>282</v>
      </c>
      <c r="E113" s="73"/>
      <c r="F113" s="362">
        <f>F111+F112</f>
        <v>39</v>
      </c>
      <c r="G113" s="370"/>
      <c r="H113" s="90"/>
      <c r="I113" s="362">
        <f>I111+I112</f>
        <v>39</v>
      </c>
      <c r="J113" s="360"/>
    </row>
    <row r="114" spans="1:10" ht="12.95" customHeight="1" x14ac:dyDescent="0.2">
      <c r="A114" s="68"/>
      <c r="B114" s="72"/>
      <c r="C114" s="140"/>
      <c r="D114" s="73" t="s">
        <v>283</v>
      </c>
      <c r="E114" s="73"/>
      <c r="F114" s="356">
        <f>(365+((366-365)/4))/12</f>
        <v>30.4375</v>
      </c>
      <c r="G114" s="357"/>
      <c r="H114" s="90"/>
      <c r="I114" s="356">
        <f>(365+((366-365)/4))/12</f>
        <v>30.4375</v>
      </c>
      <c r="J114" s="361"/>
    </row>
    <row r="115" spans="1:10" ht="12.95" customHeight="1" x14ac:dyDescent="0.2">
      <c r="A115" s="68"/>
      <c r="B115" s="72"/>
      <c r="C115" s="140"/>
      <c r="D115" s="73" t="s">
        <v>139</v>
      </c>
      <c r="E115" s="73"/>
      <c r="F115" s="358">
        <v>0.9</v>
      </c>
      <c r="G115" s="359"/>
      <c r="H115" s="90"/>
      <c r="I115" s="366">
        <v>0.5</v>
      </c>
      <c r="J115" s="367"/>
    </row>
    <row r="116" spans="1:10" ht="12.95" customHeight="1" x14ac:dyDescent="0.2">
      <c r="A116" s="68"/>
      <c r="B116" s="72"/>
      <c r="C116" s="140"/>
      <c r="D116" s="100"/>
      <c r="E116" s="100"/>
      <c r="F116" s="87"/>
      <c r="G116" s="87"/>
      <c r="H116" s="79"/>
      <c r="I116" s="120"/>
      <c r="J116" s="120"/>
    </row>
    <row r="117" spans="1:10" ht="12.95" customHeight="1" x14ac:dyDescent="0.2">
      <c r="A117" s="68"/>
      <c r="B117" s="139"/>
      <c r="C117" s="140" t="s">
        <v>140</v>
      </c>
      <c r="D117" s="73"/>
      <c r="E117" s="73"/>
      <c r="F117" s="73"/>
      <c r="G117" s="87"/>
      <c r="H117" s="90"/>
      <c r="I117" s="90"/>
      <c r="J117" s="90"/>
    </row>
    <row r="118" spans="1:10" ht="12.95" customHeight="1" x14ac:dyDescent="0.2">
      <c r="A118" s="68"/>
      <c r="B118" s="143"/>
      <c r="C118" s="140"/>
      <c r="D118" s="73" t="s">
        <v>141</v>
      </c>
      <c r="E118" s="73"/>
      <c r="F118" s="94">
        <v>0.9</v>
      </c>
      <c r="G118" s="87">
        <f>F118*0.4*0.08</f>
        <v>2.8800000000000003E-2</v>
      </c>
      <c r="H118" s="90"/>
      <c r="I118" s="90"/>
      <c r="J118" s="90"/>
    </row>
    <row r="119" spans="1:10" ht="12.95" customHeight="1" x14ac:dyDescent="0.2">
      <c r="A119" s="68"/>
      <c r="B119" s="110"/>
      <c r="C119" s="100"/>
      <c r="D119" s="100"/>
      <c r="E119" s="100"/>
      <c r="F119" s="79"/>
      <c r="G119" s="79"/>
      <c r="H119" s="79"/>
      <c r="I119" s="104"/>
      <c r="J119" s="104"/>
    </row>
    <row r="120" spans="1:10" s="68" customFormat="1" ht="20.100000000000001" customHeight="1" x14ac:dyDescent="0.2">
      <c r="B120" s="138"/>
      <c r="C120" s="71"/>
      <c r="D120" s="71"/>
      <c r="E120" s="71"/>
      <c r="F120" s="368" t="s">
        <v>277</v>
      </c>
      <c r="G120" s="369"/>
      <c r="H120" s="90"/>
      <c r="I120" s="368" t="s">
        <v>278</v>
      </c>
      <c r="J120" s="369"/>
    </row>
    <row r="121" spans="1:10" ht="12.95" customHeight="1" x14ac:dyDescent="0.2">
      <c r="A121" s="68"/>
      <c r="B121" s="72"/>
      <c r="C121" s="142" t="s">
        <v>142</v>
      </c>
      <c r="D121" s="100"/>
      <c r="E121" s="100"/>
      <c r="F121" s="363"/>
      <c r="G121" s="364"/>
      <c r="H121" s="90"/>
      <c r="I121" s="363"/>
      <c r="J121" s="365"/>
    </row>
    <row r="122" spans="1:10" ht="12.95" customHeight="1" x14ac:dyDescent="0.2">
      <c r="A122" s="68"/>
      <c r="B122" s="72"/>
      <c r="C122" s="133"/>
      <c r="D122" s="73" t="s">
        <v>284</v>
      </c>
      <c r="E122" s="73"/>
      <c r="F122" s="362">
        <v>41.13</v>
      </c>
      <c r="G122" s="360"/>
      <c r="H122" s="275"/>
      <c r="I122" s="360">
        <v>25.73</v>
      </c>
      <c r="J122" s="360"/>
    </row>
    <row r="123" spans="1:10" ht="12.95" customHeight="1" x14ac:dyDescent="0.2">
      <c r="A123" s="68"/>
      <c r="B123" s="72"/>
      <c r="C123" s="133"/>
      <c r="D123" s="73" t="s">
        <v>280</v>
      </c>
      <c r="E123" s="73"/>
      <c r="F123" s="362">
        <v>30</v>
      </c>
      <c r="G123" s="360"/>
      <c r="H123" s="275"/>
      <c r="I123" s="360">
        <v>30</v>
      </c>
      <c r="J123" s="360"/>
    </row>
    <row r="124" spans="1:10" ht="12.95" customHeight="1" x14ac:dyDescent="0.2">
      <c r="A124" s="68"/>
      <c r="B124" s="72"/>
      <c r="C124" s="133"/>
      <c r="D124" s="73" t="s">
        <v>281</v>
      </c>
      <c r="E124" s="73"/>
      <c r="F124" s="362">
        <v>9</v>
      </c>
      <c r="G124" s="360"/>
      <c r="H124" s="275"/>
      <c r="I124" s="360">
        <v>6</v>
      </c>
      <c r="J124" s="360"/>
    </row>
    <row r="125" spans="1:10" ht="12.95" customHeight="1" x14ac:dyDescent="0.2">
      <c r="A125" s="68"/>
      <c r="B125" s="72"/>
      <c r="C125" s="133"/>
      <c r="D125" s="73" t="s">
        <v>282</v>
      </c>
      <c r="E125" s="73"/>
      <c r="F125" s="362">
        <f>F123+F124</f>
        <v>39</v>
      </c>
      <c r="G125" s="360"/>
      <c r="H125" s="275"/>
      <c r="I125" s="360">
        <v>36</v>
      </c>
      <c r="J125" s="360"/>
    </row>
    <row r="126" spans="1:10" ht="12.95" customHeight="1" x14ac:dyDescent="0.2">
      <c r="A126" s="68"/>
      <c r="B126" s="72"/>
      <c r="C126" s="133"/>
      <c r="D126" s="73" t="s">
        <v>283</v>
      </c>
      <c r="E126" s="73"/>
      <c r="F126" s="356">
        <f>(365+((366-365)/4))/12</f>
        <v>30.4375</v>
      </c>
      <c r="G126" s="357"/>
      <c r="H126" s="90"/>
      <c r="I126" s="356">
        <f>(365+((366-365)/4))/12</f>
        <v>30.4375</v>
      </c>
      <c r="J126" s="361"/>
    </row>
    <row r="127" spans="1:10" ht="12.95" customHeight="1" x14ac:dyDescent="0.2">
      <c r="A127" s="68"/>
      <c r="B127" s="72"/>
      <c r="C127" s="133"/>
      <c r="D127" s="73" t="s">
        <v>139</v>
      </c>
      <c r="E127" s="73"/>
      <c r="F127" s="358">
        <v>0.1</v>
      </c>
      <c r="G127" s="359"/>
      <c r="H127" s="275"/>
      <c r="I127" s="358">
        <v>0.5</v>
      </c>
      <c r="J127" s="359"/>
    </row>
    <row r="128" spans="1:10" ht="12.95" customHeight="1" x14ac:dyDescent="0.2">
      <c r="A128" s="68"/>
      <c r="B128" s="110"/>
      <c r="C128" s="100"/>
      <c r="D128" s="100"/>
      <c r="E128" s="100"/>
      <c r="F128" s="79"/>
      <c r="G128" s="79"/>
      <c r="H128" s="79"/>
      <c r="I128" s="104"/>
      <c r="J128" s="104"/>
    </row>
    <row r="129" spans="1:10" ht="12.95" customHeight="1" x14ac:dyDescent="0.2">
      <c r="A129" s="68"/>
      <c r="B129" s="139"/>
      <c r="C129" s="140" t="s">
        <v>143</v>
      </c>
      <c r="D129" s="73"/>
      <c r="E129" s="73"/>
      <c r="F129" s="73"/>
      <c r="G129" s="87"/>
      <c r="H129" s="90"/>
      <c r="I129" s="90"/>
      <c r="J129" s="90"/>
    </row>
    <row r="130" spans="1:10" ht="12.95" customHeight="1" x14ac:dyDescent="0.2">
      <c r="A130" s="68"/>
      <c r="B130" s="143"/>
      <c r="C130" s="140"/>
      <c r="D130" s="73" t="s">
        <v>141</v>
      </c>
      <c r="E130" s="73"/>
      <c r="F130" s="94">
        <v>0.1</v>
      </c>
      <c r="G130" s="87">
        <f>F130*40%*8%</f>
        <v>3.2000000000000006E-3</v>
      </c>
      <c r="H130" s="90"/>
      <c r="I130" s="90"/>
      <c r="J130" s="90"/>
    </row>
    <row r="131" spans="1:10" s="68" customFormat="1" x14ac:dyDescent="0.2">
      <c r="B131" s="138"/>
      <c r="C131" s="71"/>
      <c r="D131" s="71"/>
      <c r="E131" s="71"/>
      <c r="F131" s="71"/>
      <c r="G131" s="71"/>
      <c r="H131" s="71"/>
    </row>
    <row r="132" spans="1:10" s="150" customFormat="1" ht="20.100000000000001" customHeight="1" x14ac:dyDescent="0.2">
      <c r="A132" s="96"/>
      <c r="C132" s="151"/>
    </row>
  </sheetData>
  <sheetProtection selectLockedCells="1" selectUnlockedCells="1"/>
  <mergeCells count="80">
    <mergeCell ref="G23:G24"/>
    <mergeCell ref="G27:G28"/>
    <mergeCell ref="J19:J20"/>
    <mergeCell ref="J23:J24"/>
    <mergeCell ref="J27:J28"/>
    <mergeCell ref="G85:G87"/>
    <mergeCell ref="J53:J55"/>
    <mergeCell ref="J57:J59"/>
    <mergeCell ref="J61:J63"/>
    <mergeCell ref="J33:J35"/>
    <mergeCell ref="J37:J39"/>
    <mergeCell ref="J41:J43"/>
    <mergeCell ref="G41:G43"/>
    <mergeCell ref="G45:G47"/>
    <mergeCell ref="G49:G51"/>
    <mergeCell ref="G33:G35"/>
    <mergeCell ref="G37:G39"/>
    <mergeCell ref="G19:G20"/>
    <mergeCell ref="G89:G91"/>
    <mergeCell ref="G53:G55"/>
    <mergeCell ref="G57:G59"/>
    <mergeCell ref="G61:G63"/>
    <mergeCell ref="G65:G67"/>
    <mergeCell ref="G69:G71"/>
    <mergeCell ref="G73:G75"/>
    <mergeCell ref="G77:G79"/>
    <mergeCell ref="G81:G83"/>
    <mergeCell ref="J4:J7"/>
    <mergeCell ref="F3:G3"/>
    <mergeCell ref="I3:J3"/>
    <mergeCell ref="J12:J13"/>
    <mergeCell ref="F10:G10"/>
    <mergeCell ref="I10:J10"/>
    <mergeCell ref="G4:G7"/>
    <mergeCell ref="G12:G13"/>
    <mergeCell ref="J45:J47"/>
    <mergeCell ref="J81:J83"/>
    <mergeCell ref="J85:J87"/>
    <mergeCell ref="J89:J91"/>
    <mergeCell ref="J65:J67"/>
    <mergeCell ref="J69:J71"/>
    <mergeCell ref="J73:J75"/>
    <mergeCell ref="J77:J79"/>
    <mergeCell ref="J49:J51"/>
    <mergeCell ref="I110:J110"/>
    <mergeCell ref="I111:J111"/>
    <mergeCell ref="F108:G108"/>
    <mergeCell ref="I108:J108"/>
    <mergeCell ref="F95:G95"/>
    <mergeCell ref="I95:J95"/>
    <mergeCell ref="F101:G101"/>
    <mergeCell ref="I101:J101"/>
    <mergeCell ref="F109:G109"/>
    <mergeCell ref="I109:J109"/>
    <mergeCell ref="F121:G121"/>
    <mergeCell ref="I121:J121"/>
    <mergeCell ref="I112:J112"/>
    <mergeCell ref="I113:J113"/>
    <mergeCell ref="I114:J114"/>
    <mergeCell ref="I115:J115"/>
    <mergeCell ref="F120:G120"/>
    <mergeCell ref="I120:J120"/>
    <mergeCell ref="F110:G110"/>
    <mergeCell ref="F111:G111"/>
    <mergeCell ref="F112:G112"/>
    <mergeCell ref="F113:G113"/>
    <mergeCell ref="F114:G114"/>
    <mergeCell ref="F115:G115"/>
    <mergeCell ref="F126:G126"/>
    <mergeCell ref="F127:G127"/>
    <mergeCell ref="I122:J122"/>
    <mergeCell ref="I123:J123"/>
    <mergeCell ref="I124:J124"/>
    <mergeCell ref="I125:J125"/>
    <mergeCell ref="I126:J126"/>
    <mergeCell ref="I127:J127"/>
    <mergeCell ref="F122:G122"/>
    <mergeCell ref="F123:G123"/>
    <mergeCell ref="F124:G124"/>
    <mergeCell ref="F125:G125"/>
  </mergeCells>
  <phoneticPr fontId="41" type="noConversion"/>
  <conditionalFormatting sqref="I79 G8:H8 F115:G115 H30 F19:G21 F27:F29 G26:H26 F14:H14 F23:G25 G16 G22:H22 G15:H15 G18:H18 F12:G13 G27:G33 G36:G37 G40:G41 G44:G45 G48:G49 G52:G53 G56:G57 G60:G61 G64:G65 G68:G69 G72:G73 G76:G77 G80:G81 G84:G85 G88:G89 G92 F35 F39 F67 F65 F71 F75 F83 F87 F91 J96 F103:F105 G99 G11 F43 F47 F51 F55 F59 F63 F79 G117:G118 F127:G127 F128:H128 G129:G130 F116:H116 I103:I105 G4:G7 J4:J7 G2:H2 I19:J21 I27:I29 I23:J25 F17:J17 J22 J15:J16 J18 I12:J14 J26:J33 J36:J37 J40:J41 J44:J45 J48:J49 J52:J53 J56:J57 J60:J61 J64:J65 J68:J69 J72:J73 J76:J77 J80:J81 J84:J85 J88:J89 I35 I39 I67 I65 I71 I75 I83 I87 I91 J11 I43 I47 I51 I55 I59 I63 G96 I99:J99 F106:H106 G94 F100:H100 F119:H119 I115:J115 I127:J127">
    <cfRule type="cellIs" dxfId="7" priority="1" stopIfTrue="1" operator="equal">
      <formula>0</formula>
    </cfRule>
  </conditionalFormatting>
  <printOptions horizontalCentered="1"/>
  <pageMargins left="0.59027777777777779" right="0.39374999999999999" top="0.70902777777777781" bottom="0.59097222222222223" header="0.39374999999999999" footer="0.31527777777777777"/>
  <pageSetup paperSize="9" scale="74" firstPageNumber="0" orientation="portrait" horizontalDpi="300" verticalDpi="300" r:id="rId1"/>
  <headerFooter alignWithMargins="0">
    <oddHeader>&amp;CCOMPOSIÇÃO DE ENCARGOS E BENEFÍCIOS LEGAIS</oddHeader>
    <oddFooter>&amp;C&amp;"Arial,Itálico"&amp;8&amp;P</oddFooter>
  </headerFooter>
  <rowBreaks count="1" manualBreakCount="1">
    <brk id="77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  <pageSetUpPr fitToPage="1"/>
  </sheetPr>
  <dimension ref="B1:J23"/>
  <sheetViews>
    <sheetView showOutlineSymbols="0" view="pageBreakPreview" zoomScaleSheetLayoutView="100" workbookViewId="0">
      <selection activeCell="D20" sqref="D20:D21"/>
    </sheetView>
  </sheetViews>
  <sheetFormatPr defaultRowHeight="12.75" x14ac:dyDescent="0.2"/>
  <cols>
    <col min="1" max="1" width="3.7109375" style="24" customWidth="1"/>
    <col min="2" max="2" width="4.5703125" style="24" customWidth="1"/>
    <col min="3" max="3" width="16.7109375" style="24" customWidth="1"/>
    <col min="4" max="4" width="25.7109375" style="24" customWidth="1"/>
    <col min="5" max="5" width="10.7109375" style="24" customWidth="1"/>
    <col min="6" max="6" width="10.85546875" style="24" customWidth="1"/>
    <col min="7" max="7" width="10" style="24" customWidth="1"/>
    <col min="8" max="8" width="9.7109375" style="24" customWidth="1"/>
    <col min="9" max="9" width="11.42578125" style="24" customWidth="1"/>
    <col min="10" max="16384" width="9.140625" style="24"/>
  </cols>
  <sheetData>
    <row r="1" spans="2:10" ht="20.100000000000001" customHeight="1" x14ac:dyDescent="0.2"/>
    <row r="2" spans="2:10" ht="18" x14ac:dyDescent="0.2">
      <c r="B2" s="25" t="s">
        <v>33</v>
      </c>
    </row>
    <row r="4" spans="2:10" ht="16.5" thickBot="1" x14ac:dyDescent="0.25">
      <c r="B4" s="26" t="s">
        <v>34</v>
      </c>
    </row>
    <row r="5" spans="2:10" ht="15" customHeight="1" x14ac:dyDescent="0.2">
      <c r="B5" s="388" t="s">
        <v>35</v>
      </c>
      <c r="C5" s="389"/>
      <c r="D5" s="390"/>
      <c r="E5" s="387" t="s">
        <v>36</v>
      </c>
      <c r="F5" s="387"/>
      <c r="G5" s="387" t="s">
        <v>37</v>
      </c>
      <c r="H5" s="387"/>
      <c r="I5" s="387" t="s">
        <v>38</v>
      </c>
      <c r="J5" s="387"/>
    </row>
    <row r="6" spans="2:10" ht="15" customHeight="1" thickBot="1" x14ac:dyDescent="0.25">
      <c r="B6" s="382" t="s">
        <v>363</v>
      </c>
      <c r="C6" s="383"/>
      <c r="D6" s="384"/>
      <c r="E6" s="391" t="s">
        <v>361</v>
      </c>
      <c r="F6" s="391"/>
      <c r="G6" s="380">
        <v>44119</v>
      </c>
      <c r="H6" s="380"/>
      <c r="I6" s="381">
        <v>0.58333333333333337</v>
      </c>
      <c r="J6" s="381"/>
    </row>
    <row r="7" spans="2:10" ht="15" customHeight="1" x14ac:dyDescent="0.2">
      <c r="B7" s="388" t="s">
        <v>39</v>
      </c>
      <c r="C7" s="389"/>
      <c r="D7" s="390"/>
      <c r="E7" s="387" t="s">
        <v>40</v>
      </c>
      <c r="F7" s="387"/>
      <c r="G7" s="387" t="s">
        <v>41</v>
      </c>
      <c r="H7" s="387"/>
      <c r="I7" s="387" t="s">
        <v>42</v>
      </c>
      <c r="J7" s="387"/>
    </row>
    <row r="8" spans="2:10" ht="15" customHeight="1" thickBot="1" x14ac:dyDescent="0.25">
      <c r="B8" s="392" t="s">
        <v>43</v>
      </c>
      <c r="C8" s="393"/>
      <c r="D8" s="394"/>
      <c r="E8" s="303" t="s">
        <v>362</v>
      </c>
      <c r="F8" s="304" t="s">
        <v>303</v>
      </c>
      <c r="G8" s="385" t="s">
        <v>44</v>
      </c>
      <c r="H8" s="385"/>
      <c r="I8" s="301">
        <v>60</v>
      </c>
      <c r="J8" s="302" t="s">
        <v>303</v>
      </c>
    </row>
    <row r="9" spans="2:10" ht="15.75" x14ac:dyDescent="0.2">
      <c r="B9" s="26"/>
    </row>
    <row r="11" spans="2:10" ht="16.5" thickBot="1" x14ac:dyDescent="0.25">
      <c r="B11" s="26" t="s">
        <v>45</v>
      </c>
    </row>
    <row r="12" spans="2:10" x14ac:dyDescent="0.2">
      <c r="B12" s="398" t="s">
        <v>46</v>
      </c>
      <c r="C12" s="399"/>
      <c r="D12" s="399"/>
      <c r="E12" s="399"/>
      <c r="F12" s="399"/>
      <c r="G12" s="399"/>
      <c r="H12" s="399"/>
      <c r="I12" s="399"/>
      <c r="J12" s="400"/>
    </row>
    <row r="13" spans="2:10" ht="48" customHeight="1" thickBot="1" x14ac:dyDescent="0.25">
      <c r="B13" s="401" t="s">
        <v>366</v>
      </c>
      <c r="C13" s="402"/>
      <c r="D13" s="402"/>
      <c r="E13" s="402"/>
      <c r="F13" s="402"/>
      <c r="G13" s="402"/>
      <c r="H13" s="402"/>
      <c r="I13" s="402"/>
      <c r="J13" s="403"/>
    </row>
    <row r="14" spans="2:10" x14ac:dyDescent="0.2">
      <c r="B14" s="386" t="s">
        <v>47</v>
      </c>
      <c r="C14" s="386"/>
      <c r="D14" s="386"/>
      <c r="E14" s="398" t="s">
        <v>48</v>
      </c>
      <c r="F14" s="399"/>
      <c r="G14" s="400"/>
      <c r="H14" s="386" t="s">
        <v>49</v>
      </c>
      <c r="I14" s="386"/>
      <c r="J14" s="386"/>
    </row>
    <row r="15" spans="2:10" ht="24.95" customHeight="1" thickBot="1" x14ac:dyDescent="0.25">
      <c r="B15" s="404" t="s">
        <v>346</v>
      </c>
      <c r="C15" s="405"/>
      <c r="D15" s="406"/>
      <c r="E15" s="392" t="s">
        <v>50</v>
      </c>
      <c r="F15" s="393"/>
      <c r="G15" s="394"/>
      <c r="H15" s="385" t="str">
        <f>H23&amp;" "&amp;E15</f>
        <v>6 Postos de Trabalho</v>
      </c>
      <c r="I15" s="385"/>
      <c r="J15" s="385"/>
    </row>
    <row r="18" spans="2:10" ht="16.5" thickBot="1" x14ac:dyDescent="0.25">
      <c r="B18" s="26" t="s">
        <v>51</v>
      </c>
    </row>
    <row r="19" spans="2:10" ht="45.75" thickBot="1" x14ac:dyDescent="0.25">
      <c r="B19" s="28" t="s">
        <v>52</v>
      </c>
      <c r="C19" s="29" t="s">
        <v>53</v>
      </c>
      <c r="D19" s="29" t="s">
        <v>296</v>
      </c>
      <c r="E19" s="29" t="s">
        <v>54</v>
      </c>
      <c r="F19" s="30" t="s">
        <v>55</v>
      </c>
      <c r="G19" s="31" t="s">
        <v>56</v>
      </c>
      <c r="H19" s="32" t="s">
        <v>57</v>
      </c>
      <c r="I19" s="29" t="s">
        <v>58</v>
      </c>
      <c r="J19" s="31" t="s">
        <v>59</v>
      </c>
    </row>
    <row r="20" spans="2:10" ht="25.5" x14ac:dyDescent="0.2">
      <c r="B20" s="33">
        <v>1</v>
      </c>
      <c r="C20" s="343" t="s">
        <v>372</v>
      </c>
      <c r="D20" s="34" t="s">
        <v>294</v>
      </c>
      <c r="E20" s="35" t="s">
        <v>9</v>
      </c>
      <c r="F20" s="36" t="s">
        <v>60</v>
      </c>
      <c r="G20" s="37">
        <f>VLOOKUP(E20,Apoio!$A:$B,2,FALSE)</f>
        <v>220</v>
      </c>
      <c r="H20" s="33">
        <v>1</v>
      </c>
      <c r="I20" s="36">
        <v>1</v>
      </c>
      <c r="J20" s="38">
        <f>H20*I20</f>
        <v>1</v>
      </c>
    </row>
    <row r="21" spans="2:10" ht="39.950000000000003" customHeight="1" x14ac:dyDescent="0.2">
      <c r="B21" s="39">
        <v>2</v>
      </c>
      <c r="C21" s="344" t="s">
        <v>365</v>
      </c>
      <c r="D21" s="40" t="s">
        <v>294</v>
      </c>
      <c r="E21" s="41" t="s">
        <v>9</v>
      </c>
      <c r="F21" s="42" t="s">
        <v>60</v>
      </c>
      <c r="G21" s="43">
        <f>VLOOKUP(E21,Apoio!$A:$B,2,FALSE)</f>
        <v>220</v>
      </c>
      <c r="H21" s="39">
        <v>3</v>
      </c>
      <c r="I21" s="42">
        <v>1</v>
      </c>
      <c r="J21" s="44">
        <f>H21*I21</f>
        <v>3</v>
      </c>
    </row>
    <row r="22" spans="2:10" ht="39.950000000000003" customHeight="1" thickBot="1" x14ac:dyDescent="0.25">
      <c r="B22" s="39">
        <v>3</v>
      </c>
      <c r="C22" s="344" t="s">
        <v>365</v>
      </c>
      <c r="D22" s="40" t="s">
        <v>295</v>
      </c>
      <c r="E22" s="41" t="s">
        <v>9</v>
      </c>
      <c r="F22" s="42" t="s">
        <v>60</v>
      </c>
      <c r="G22" s="43">
        <f>VLOOKUP(E22,Apoio!$A:$B,2,FALSE)</f>
        <v>220</v>
      </c>
      <c r="H22" s="39">
        <v>2</v>
      </c>
      <c r="I22" s="42">
        <v>1</v>
      </c>
      <c r="J22" s="44">
        <f>H22*I22</f>
        <v>2</v>
      </c>
    </row>
    <row r="23" spans="2:10" ht="20.100000000000001" customHeight="1" thickBot="1" x14ac:dyDescent="0.25">
      <c r="B23" s="395" t="s">
        <v>61</v>
      </c>
      <c r="C23" s="396"/>
      <c r="D23" s="396"/>
      <c r="E23" s="396"/>
      <c r="F23" s="396"/>
      <c r="G23" s="397"/>
      <c r="H23" s="46">
        <f>SUM(H20:H22)</f>
        <v>6</v>
      </c>
      <c r="I23" s="47" t="s">
        <v>62</v>
      </c>
      <c r="J23" s="48">
        <f>SUM(J20:J22)</f>
        <v>6</v>
      </c>
    </row>
  </sheetData>
  <mergeCells count="23">
    <mergeCell ref="B23:G23"/>
    <mergeCell ref="E14:G14"/>
    <mergeCell ref="E15:G15"/>
    <mergeCell ref="B12:J12"/>
    <mergeCell ref="B13:J13"/>
    <mergeCell ref="B15:D15"/>
    <mergeCell ref="E5:F5"/>
    <mergeCell ref="G5:H5"/>
    <mergeCell ref="I5:J5"/>
    <mergeCell ref="B5:D5"/>
    <mergeCell ref="I7:J7"/>
    <mergeCell ref="B7:D7"/>
    <mergeCell ref="E6:F6"/>
    <mergeCell ref="E7:F7"/>
    <mergeCell ref="G7:H7"/>
    <mergeCell ref="G6:H6"/>
    <mergeCell ref="I6:J6"/>
    <mergeCell ref="B6:D6"/>
    <mergeCell ref="H15:J15"/>
    <mergeCell ref="B14:D14"/>
    <mergeCell ref="H14:J14"/>
    <mergeCell ref="G8:H8"/>
    <mergeCell ref="B8:D8"/>
  </mergeCells>
  <phoneticPr fontId="41" type="noConversion"/>
  <dataValidations count="5">
    <dataValidation type="date" operator="greaterThan" allowBlank="1" showInputMessage="1" showErrorMessage="1" errorTitle="Data:" error="Insira a data no formato &quot;dd/mm/aaaa&quot;._x000a_(Ex.: Para a data de 1º de janeiro de 2012, digite 1/1/2012)" promptTitle="Data:" prompt="Insira a data no formato &quot;dd/mm/aaaa&quot;._x000a_(Ex.: Para a data de 1º de janeiro de 2012, digite 1/1/2012)" sqref="G6:H6">
      <formula1>40908</formula1>
      <formula2>0</formula2>
    </dataValidation>
    <dataValidation allowBlank="1" showInputMessage="1" showErrorMessage="1" errorTitle="Licitação nº:" error="Insira o número da licitação no formato &quot;PE-nnn/aaaa&quot;._x000a_(Ex.: Para o pregão eletrônico nº 123 de 2011, digite PE-123/2011)" promptTitle="Licitação nº:" prompt="Insira o número da licitação no formato &quot;PE-nnn/aaaa&quot;._x000a_(Ex.: Para o pregão eletrônico nº 123 de 2011, digite PE-123/2011)" sqref="E6:F6">
      <formula1>0</formula1>
      <formula2>0</formula2>
    </dataValidation>
    <dataValidation type="time" operator="greaterThan" allowBlank="1" showInputMessage="1" showErrorMessage="1" errorTitle="Horário:" error="Insira o horário no formato &quot;hh:mm&quot;._x000a_(Ex.: Para uma licitação que se iniciará às 14 horas e 30 minutos, digite 14:30)" promptTitle="Horário:" prompt="Insira o horário no formato &quot;hh:mm&quot;._x000a_(Ex.: Para uma licitação que se iniciará às 14 horas e 30 minutos, digite 14:30)" sqref="I6:J6">
      <formula1>0</formula1>
      <formula2>0</formula2>
    </dataValidation>
    <dataValidation type="list" allowBlank="1" showErrorMessage="1" sqref="E20:E22">
      <formula1>Jornada</formula1>
    </dataValidation>
    <dataValidation type="list" allowBlank="1" showErrorMessage="1" sqref="F20:F22">
      <formula1>"Diurno,Noturno,Misto"</formula1>
      <formula2>0</formula2>
    </dataValidation>
  </dataValidations>
  <printOptions horizontalCentered="1"/>
  <pageMargins left="0.59055118110236227" right="0.59055118110236227" top="0.78740157480314965" bottom="0.59055118110236227" header="0.51181102362204722" footer="0.51181102362204722"/>
  <pageSetup paperSize="9" firstPageNumber="0" orientation="landscape" horizontalDpi="300" verticalDpi="300" r:id="rId1"/>
  <headerFooter alignWithMargins="0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1"/>
  </sheetPr>
  <dimension ref="B1:I48"/>
  <sheetViews>
    <sheetView showOutlineSymbols="0" view="pageBreakPreview" topLeftCell="A16" zoomScale="120" zoomScaleSheetLayoutView="120" workbookViewId="0">
      <selection activeCell="N33" sqref="N33"/>
    </sheetView>
  </sheetViews>
  <sheetFormatPr defaultRowHeight="12.75" customHeight="1" x14ac:dyDescent="0.2"/>
  <cols>
    <col min="1" max="1" width="3.7109375" style="24" customWidth="1"/>
    <col min="2" max="2" width="4.7109375" style="24" customWidth="1"/>
    <col min="3" max="3" width="25" style="24" customWidth="1"/>
    <col min="4" max="4" width="11.5703125" style="24" customWidth="1"/>
    <col min="5" max="7" width="10.7109375" style="24" customWidth="1"/>
    <col min="8" max="8" width="9.140625" style="24"/>
    <col min="9" max="9" width="11.42578125" style="24" customWidth="1"/>
    <col min="10" max="16384" width="9.140625" style="24"/>
  </cols>
  <sheetData>
    <row r="1" spans="2:9" ht="20.100000000000001" customHeight="1" x14ac:dyDescent="0.2"/>
    <row r="2" spans="2:9" ht="18" customHeight="1" x14ac:dyDescent="0.2">
      <c r="B2" s="25" t="s">
        <v>63</v>
      </c>
    </row>
    <row r="4" spans="2:9" ht="16.5" customHeight="1" thickBot="1" x14ac:dyDescent="0.25">
      <c r="B4" s="26" t="s">
        <v>64</v>
      </c>
    </row>
    <row r="5" spans="2:9" ht="12.75" customHeight="1" x14ac:dyDescent="0.2">
      <c r="B5" s="386" t="s">
        <v>65</v>
      </c>
      <c r="C5" s="386"/>
      <c r="D5" s="386"/>
      <c r="E5" s="386"/>
      <c r="F5" s="386"/>
      <c r="G5" s="386"/>
      <c r="H5" s="386" t="s">
        <v>66</v>
      </c>
      <c r="I5" s="386"/>
    </row>
    <row r="6" spans="2:9" ht="15.75" customHeight="1" thickBot="1" x14ac:dyDescent="0.25">
      <c r="B6" s="407"/>
      <c r="C6" s="407"/>
      <c r="D6" s="407"/>
      <c r="E6" s="407"/>
      <c r="F6" s="407"/>
      <c r="G6" s="407"/>
      <c r="H6" s="408"/>
      <c r="I6" s="408"/>
    </row>
    <row r="7" spans="2:9" ht="12.75" customHeight="1" x14ac:dyDescent="0.2">
      <c r="B7" s="386" t="s">
        <v>67</v>
      </c>
      <c r="C7" s="386"/>
      <c r="D7" s="386"/>
      <c r="E7" s="386"/>
      <c r="F7" s="386"/>
      <c r="G7" s="386"/>
      <c r="H7" s="386"/>
      <c r="I7" s="386"/>
    </row>
    <row r="8" spans="2:9" ht="15.75" customHeight="1" thickBot="1" x14ac:dyDescent="0.25">
      <c r="B8" s="407"/>
      <c r="C8" s="407"/>
      <c r="D8" s="407"/>
      <c r="E8" s="407"/>
      <c r="F8" s="407"/>
      <c r="G8" s="407"/>
      <c r="H8" s="407"/>
      <c r="I8" s="407"/>
    </row>
    <row r="9" spans="2:9" ht="12.75" customHeight="1" x14ac:dyDescent="0.2">
      <c r="B9" s="386" t="s">
        <v>68</v>
      </c>
      <c r="C9" s="386"/>
      <c r="D9" s="386"/>
      <c r="E9" s="386"/>
      <c r="F9" s="386"/>
      <c r="G9" s="27" t="s">
        <v>69</v>
      </c>
      <c r="H9" s="386" t="s">
        <v>70</v>
      </c>
      <c r="I9" s="386"/>
    </row>
    <row r="10" spans="2:9" ht="15.75" customHeight="1" thickBot="1" x14ac:dyDescent="0.25">
      <c r="B10" s="407"/>
      <c r="C10" s="407"/>
      <c r="D10" s="407"/>
      <c r="E10" s="407"/>
      <c r="F10" s="407"/>
      <c r="G10" s="49"/>
      <c r="H10" s="409"/>
      <c r="I10" s="409"/>
    </row>
    <row r="11" spans="2:9" ht="12.75" customHeight="1" x14ac:dyDescent="0.2">
      <c r="B11" s="27" t="s">
        <v>71</v>
      </c>
      <c r="C11" s="27" t="s">
        <v>72</v>
      </c>
      <c r="D11" s="386" t="s">
        <v>73</v>
      </c>
      <c r="E11" s="386"/>
      <c r="F11" s="386"/>
      <c r="G11" s="386"/>
      <c r="H11" s="386"/>
      <c r="I11" s="386"/>
    </row>
    <row r="12" spans="2:9" ht="15.75" customHeight="1" thickBot="1" x14ac:dyDescent="0.25">
      <c r="B12" s="50"/>
      <c r="C12" s="51"/>
      <c r="D12" s="410"/>
      <c r="E12" s="407"/>
      <c r="F12" s="407"/>
      <c r="G12" s="407"/>
      <c r="H12" s="407"/>
      <c r="I12" s="407"/>
    </row>
    <row r="13" spans="2:9" ht="12.75" customHeight="1" x14ac:dyDescent="0.2">
      <c r="B13" s="386" t="s">
        <v>74</v>
      </c>
      <c r="C13" s="386"/>
      <c r="D13" s="386"/>
      <c r="E13" s="386"/>
      <c r="F13" s="386"/>
      <c r="G13" s="386"/>
      <c r="H13" s="386"/>
      <c r="I13" s="386"/>
    </row>
    <row r="14" spans="2:9" ht="15.75" customHeight="1" thickBot="1" x14ac:dyDescent="0.25">
      <c r="B14" s="407"/>
      <c r="C14" s="407"/>
      <c r="D14" s="407"/>
      <c r="E14" s="407"/>
      <c r="F14" s="407"/>
      <c r="G14" s="407"/>
      <c r="H14" s="407"/>
      <c r="I14" s="407"/>
    </row>
    <row r="15" spans="2:9" ht="12.75" customHeight="1" x14ac:dyDescent="0.2">
      <c r="B15" s="386" t="s">
        <v>68</v>
      </c>
      <c r="C15" s="386"/>
      <c r="D15" s="386"/>
      <c r="E15" s="386"/>
      <c r="F15" s="386"/>
      <c r="G15" s="27" t="s">
        <v>69</v>
      </c>
      <c r="H15" s="386" t="s">
        <v>70</v>
      </c>
      <c r="I15" s="386"/>
    </row>
    <row r="16" spans="2:9" ht="15.75" customHeight="1" thickBot="1" x14ac:dyDescent="0.25">
      <c r="B16" s="407"/>
      <c r="C16" s="407"/>
      <c r="D16" s="407"/>
      <c r="E16" s="407"/>
      <c r="F16" s="407"/>
      <c r="G16" s="52"/>
      <c r="H16" s="409"/>
      <c r="I16" s="409"/>
    </row>
    <row r="17" spans="2:9" ht="12.75" customHeight="1" x14ac:dyDescent="0.2">
      <c r="B17" s="27" t="s">
        <v>71</v>
      </c>
      <c r="C17" s="27" t="s">
        <v>72</v>
      </c>
      <c r="D17" s="386" t="s">
        <v>73</v>
      </c>
      <c r="E17" s="386"/>
      <c r="F17" s="386"/>
      <c r="G17" s="386"/>
      <c r="H17" s="386"/>
      <c r="I17" s="386"/>
    </row>
    <row r="18" spans="2:9" ht="15.75" customHeight="1" thickBot="1" x14ac:dyDescent="0.25">
      <c r="B18" s="53">
        <v>67</v>
      </c>
      <c r="C18" s="51"/>
      <c r="D18" s="407"/>
      <c r="E18" s="407"/>
      <c r="F18" s="407"/>
      <c r="G18" s="407"/>
      <c r="H18" s="407"/>
      <c r="I18" s="407"/>
    </row>
    <row r="21" spans="2:9" ht="16.5" customHeight="1" x14ac:dyDescent="0.2">
      <c r="B21" s="26" t="s">
        <v>75</v>
      </c>
    </row>
    <row r="22" spans="2:9" ht="13.5" customHeight="1" x14ac:dyDescent="0.2">
      <c r="B22" s="328"/>
      <c r="C22" s="329"/>
      <c r="D22" s="330" t="s">
        <v>52</v>
      </c>
      <c r="E22" s="411" t="s">
        <v>3</v>
      </c>
      <c r="F22" s="411"/>
      <c r="G22" s="411" t="s">
        <v>76</v>
      </c>
      <c r="H22" s="411"/>
      <c r="I22" s="331" t="s">
        <v>77</v>
      </c>
    </row>
    <row r="23" spans="2:9" ht="12.75" customHeight="1" x14ac:dyDescent="0.2">
      <c r="B23" s="332" t="s">
        <v>4</v>
      </c>
      <c r="C23" s="54"/>
      <c r="D23" s="55" t="s">
        <v>78</v>
      </c>
      <c r="E23" s="56" t="s">
        <v>79</v>
      </c>
      <c r="F23" s="57"/>
      <c r="G23" s="57"/>
      <c r="H23" s="57"/>
      <c r="I23" s="333"/>
    </row>
    <row r="24" spans="2:9" ht="12.75" customHeight="1" x14ac:dyDescent="0.2">
      <c r="B24" s="334"/>
      <c r="C24" s="58"/>
      <c r="D24" s="39" t="s">
        <v>80</v>
      </c>
      <c r="E24" s="59" t="s">
        <v>8</v>
      </c>
      <c r="F24" s="60"/>
      <c r="G24" s="412" t="str">
        <f>IF(Apoio!$E$7=0,"",IF(Apoio!$F$7=Apoio!$H$1,"n/a","Faturamento"))</f>
        <v>Faturamento</v>
      </c>
      <c r="H24" s="412"/>
      <c r="I24" s="335">
        <v>6.4999999999999997E-3</v>
      </c>
    </row>
    <row r="25" spans="2:9" ht="12.75" customHeight="1" thickBot="1" x14ac:dyDescent="0.25">
      <c r="B25" s="332" t="s">
        <v>5</v>
      </c>
      <c r="C25" s="54"/>
      <c r="D25" s="61" t="s">
        <v>81</v>
      </c>
      <c r="E25" s="62" t="s">
        <v>10</v>
      </c>
      <c r="F25" s="63"/>
      <c r="G25" s="413" t="str">
        <f>IF(Apoio!$E$7=0,"",IF(Apoio!$F$7=Apoio!$H$1,"Folha de Pagamento","Faturamento"))</f>
        <v>Faturamento</v>
      </c>
      <c r="H25" s="413"/>
      <c r="I25" s="338">
        <v>0.03</v>
      </c>
    </row>
    <row r="26" spans="2:9" ht="13.5" customHeight="1" thickBot="1" x14ac:dyDescent="0.25">
      <c r="B26" s="336"/>
      <c r="C26" s="58"/>
      <c r="D26" s="421" t="s">
        <v>83</v>
      </c>
      <c r="E26" s="421"/>
      <c r="F26" s="421"/>
      <c r="G26" s="421"/>
      <c r="H26" s="421"/>
      <c r="I26" s="339">
        <f>SUM(I23:I25)</f>
        <v>3.6499999999999998E-2</v>
      </c>
    </row>
    <row r="27" spans="2:9" ht="12.75" customHeight="1" x14ac:dyDescent="0.2">
      <c r="B27" s="332" t="s">
        <v>82</v>
      </c>
      <c r="C27" s="54"/>
      <c r="D27" s="55" t="s">
        <v>84</v>
      </c>
      <c r="E27" s="56" t="s">
        <v>85</v>
      </c>
      <c r="F27" s="57"/>
      <c r="G27" s="57"/>
      <c r="H27" s="57"/>
      <c r="I27" s="333"/>
    </row>
    <row r="28" spans="2:9" ht="13.5" customHeight="1" thickBot="1" x14ac:dyDescent="0.25">
      <c r="B28" s="340"/>
      <c r="C28" s="66"/>
      <c r="D28" s="45" t="s">
        <v>86</v>
      </c>
      <c r="E28" s="64" t="s">
        <v>87</v>
      </c>
      <c r="F28" s="65"/>
      <c r="G28" s="422" t="str">
        <f>IF(Apoio!$E$7=0,"",IF(Apoio!$F$7=Apoio!$H$1,"n/a","Faturamento"))</f>
        <v>Faturamento</v>
      </c>
      <c r="H28" s="422"/>
      <c r="I28" s="337">
        <f>IF(Apoio!$E$7=0,0,HLOOKUP(Apoio!$F$7,Apoio!$E$1:$I$4,4,FALSE))</f>
        <v>0.05</v>
      </c>
    </row>
    <row r="29" spans="2:9" ht="15.75" customHeight="1" thickBot="1" x14ac:dyDescent="0.25">
      <c r="B29" s="332" t="s">
        <v>344</v>
      </c>
      <c r="C29" s="54"/>
      <c r="D29" s="423" t="s">
        <v>317</v>
      </c>
      <c r="E29" s="423"/>
      <c r="F29" s="423"/>
      <c r="G29" s="423"/>
      <c r="H29" s="423"/>
      <c r="I29" s="341">
        <f>SUM(I26,I28)</f>
        <v>8.6499999999999994E-2</v>
      </c>
    </row>
    <row r="30" spans="2:9" ht="13.5" customHeight="1" thickBot="1" x14ac:dyDescent="0.25">
      <c r="B30" s="424" t="s">
        <v>345</v>
      </c>
      <c r="C30" s="425"/>
      <c r="D30" s="45" t="s">
        <v>318</v>
      </c>
      <c r="E30" s="64" t="s">
        <v>87</v>
      </c>
      <c r="F30" s="65"/>
      <c r="G30" s="422" t="str">
        <f>IF(Apoio!$E$7=0,"",IF(Apoio!$F$7=Apoio!$H$1,"n/a","Faturamento"))</f>
        <v>Faturamento</v>
      </c>
      <c r="H30" s="422"/>
      <c r="I30" s="337">
        <f>IF(Apoio!$E$7=0,0,HLOOKUP(Apoio!$F$7,Apoio!$E$1:$I$5,5,FALSE))</f>
        <v>0.03</v>
      </c>
    </row>
    <row r="31" spans="2:9" ht="15.75" customHeight="1" thickBot="1" x14ac:dyDescent="0.25">
      <c r="B31" s="426" t="s">
        <v>320</v>
      </c>
      <c r="C31" s="427"/>
      <c r="D31" s="423" t="s">
        <v>319</v>
      </c>
      <c r="E31" s="423"/>
      <c r="F31" s="423"/>
      <c r="G31" s="423"/>
      <c r="H31" s="423"/>
      <c r="I31" s="341">
        <f>SUM(I26,I30)</f>
        <v>6.6500000000000004E-2</v>
      </c>
    </row>
    <row r="32" spans="2:9" ht="17.100000000000001" customHeight="1" thickBot="1" x14ac:dyDescent="0.25">
      <c r="B32" s="414" t="s">
        <v>343</v>
      </c>
      <c r="C32" s="415"/>
      <c r="D32" s="415"/>
      <c r="E32" s="415"/>
      <c r="F32" s="415"/>
      <c r="G32" s="415"/>
      <c r="H32" s="415"/>
      <c r="I32" s="416"/>
    </row>
    <row r="33" spans="2:9" ht="12.75" customHeight="1" thickBot="1" x14ac:dyDescent="0.25">
      <c r="B33" s="417"/>
      <c r="C33" s="415"/>
      <c r="D33" s="415"/>
      <c r="E33" s="415"/>
      <c r="F33" s="415"/>
      <c r="G33" s="415"/>
      <c r="H33" s="415"/>
      <c r="I33" s="416"/>
    </row>
    <row r="34" spans="2:9" ht="12.75" customHeight="1" thickBot="1" x14ac:dyDescent="0.25">
      <c r="B34" s="417"/>
      <c r="C34" s="415"/>
      <c r="D34" s="415"/>
      <c r="E34" s="415"/>
      <c r="F34" s="415"/>
      <c r="G34" s="415"/>
      <c r="H34" s="415"/>
      <c r="I34" s="416"/>
    </row>
    <row r="35" spans="2:9" ht="12.75" customHeight="1" thickBot="1" x14ac:dyDescent="0.25">
      <c r="B35" s="417"/>
      <c r="C35" s="415"/>
      <c r="D35" s="415"/>
      <c r="E35" s="415"/>
      <c r="F35" s="415"/>
      <c r="G35" s="415"/>
      <c r="H35" s="415"/>
      <c r="I35" s="416"/>
    </row>
    <row r="36" spans="2:9" ht="12.75" customHeight="1" thickBot="1" x14ac:dyDescent="0.25">
      <c r="B36" s="417"/>
      <c r="C36" s="415"/>
      <c r="D36" s="415"/>
      <c r="E36" s="415"/>
      <c r="F36" s="415"/>
      <c r="G36" s="415"/>
      <c r="H36" s="415"/>
      <c r="I36" s="416"/>
    </row>
    <row r="37" spans="2:9" ht="13.5" customHeight="1" thickBot="1" x14ac:dyDescent="0.25">
      <c r="B37" s="418"/>
      <c r="C37" s="419"/>
      <c r="D37" s="419"/>
      <c r="E37" s="419"/>
      <c r="F37" s="419"/>
      <c r="G37" s="419"/>
      <c r="H37" s="419"/>
      <c r="I37" s="420"/>
    </row>
    <row r="40" spans="2:9" ht="30" customHeight="1" thickBot="1" x14ac:dyDescent="0.25">
      <c r="B40" s="435" t="s">
        <v>373</v>
      </c>
      <c r="C40" s="436"/>
      <c r="D40" s="436"/>
      <c r="E40" s="436"/>
      <c r="F40" s="436"/>
      <c r="G40" s="436"/>
      <c r="H40" s="436"/>
      <c r="I40" s="436"/>
    </row>
    <row r="41" spans="2:9" ht="12.75" customHeight="1" thickBot="1" x14ac:dyDescent="0.25">
      <c r="B41" s="328"/>
      <c r="C41" s="329"/>
      <c r="D41" s="330" t="s">
        <v>52</v>
      </c>
      <c r="E41" s="411" t="s">
        <v>3</v>
      </c>
      <c r="F41" s="411"/>
      <c r="G41" s="411" t="s">
        <v>76</v>
      </c>
      <c r="H41" s="411"/>
      <c r="I41" s="331" t="s">
        <v>77</v>
      </c>
    </row>
    <row r="42" spans="2:9" ht="12.75" customHeight="1" x14ac:dyDescent="0.2">
      <c r="B42" s="332" t="s">
        <v>357</v>
      </c>
      <c r="C42" s="54"/>
      <c r="D42" s="55" t="s">
        <v>78</v>
      </c>
      <c r="E42" s="56" t="s">
        <v>355</v>
      </c>
      <c r="F42" s="57"/>
      <c r="G42" s="57"/>
      <c r="H42" s="57"/>
      <c r="I42" s="333"/>
    </row>
    <row r="43" spans="2:9" ht="12.75" customHeight="1" thickBot="1" x14ac:dyDescent="0.25">
      <c r="B43" s="334"/>
      <c r="C43" s="58"/>
      <c r="D43" s="39" t="s">
        <v>80</v>
      </c>
      <c r="E43" s="59" t="s">
        <v>93</v>
      </c>
      <c r="F43" s="60"/>
      <c r="G43" s="412" t="str">
        <f>IF(Apoio!$E$12=0,"",IF(Apoio!$E$12=2,"Folha de Pagamento",""))</f>
        <v/>
      </c>
      <c r="H43" s="412"/>
      <c r="I43" s="345">
        <v>0.2</v>
      </c>
    </row>
    <row r="44" spans="2:9" ht="12.75" customHeight="1" x14ac:dyDescent="0.2">
      <c r="B44" s="332" t="s">
        <v>358</v>
      </c>
      <c r="C44" s="54"/>
      <c r="D44" s="55" t="s">
        <v>84</v>
      </c>
      <c r="E44" s="56" t="s">
        <v>356</v>
      </c>
      <c r="F44" s="57"/>
      <c r="G44" s="57"/>
      <c r="H44" s="57"/>
      <c r="I44" s="333"/>
    </row>
    <row r="45" spans="2:9" ht="12.75" customHeight="1" thickBot="1" x14ac:dyDescent="0.25">
      <c r="B45" s="336"/>
      <c r="C45" s="58"/>
      <c r="D45" s="45" t="s">
        <v>86</v>
      </c>
      <c r="E45" s="64" t="s">
        <v>93</v>
      </c>
      <c r="F45" s="65"/>
      <c r="G45" s="422" t="str">
        <f>IF(Apoio!$E$12=0,"",IF(Apoio!$E$12=1,"Faturamento",""))</f>
        <v>Faturamento</v>
      </c>
      <c r="H45" s="422"/>
      <c r="I45" s="346">
        <v>0</v>
      </c>
    </row>
    <row r="46" spans="2:9" ht="12.75" customHeight="1" x14ac:dyDescent="0.2">
      <c r="B46" s="428" t="s">
        <v>359</v>
      </c>
      <c r="C46" s="429"/>
      <c r="D46" s="429"/>
      <c r="E46" s="429"/>
      <c r="F46" s="429"/>
      <c r="G46" s="429"/>
      <c r="H46" s="429"/>
      <c r="I46" s="430"/>
    </row>
    <row r="47" spans="2:9" ht="12.75" customHeight="1" x14ac:dyDescent="0.2">
      <c r="B47" s="431"/>
      <c r="C47" s="429"/>
      <c r="D47" s="429"/>
      <c r="E47" s="429"/>
      <c r="F47" s="429"/>
      <c r="G47" s="429"/>
      <c r="H47" s="429"/>
      <c r="I47" s="430"/>
    </row>
    <row r="48" spans="2:9" ht="12.75" customHeight="1" thickBot="1" x14ac:dyDescent="0.25">
      <c r="B48" s="432"/>
      <c r="C48" s="433"/>
      <c r="D48" s="433"/>
      <c r="E48" s="433"/>
      <c r="F48" s="433"/>
      <c r="G48" s="433"/>
      <c r="H48" s="433"/>
      <c r="I48" s="434"/>
    </row>
  </sheetData>
  <mergeCells count="38">
    <mergeCell ref="G45:H45"/>
    <mergeCell ref="B46:I48"/>
    <mergeCell ref="B40:I40"/>
    <mergeCell ref="E41:F41"/>
    <mergeCell ref="G41:H41"/>
    <mergeCell ref="G43:H43"/>
    <mergeCell ref="G24:H24"/>
    <mergeCell ref="G25:H25"/>
    <mergeCell ref="B32:I37"/>
    <mergeCell ref="D26:H26"/>
    <mergeCell ref="G28:H28"/>
    <mergeCell ref="D29:H29"/>
    <mergeCell ref="G30:H30"/>
    <mergeCell ref="D31:H31"/>
    <mergeCell ref="B30:C30"/>
    <mergeCell ref="B31:C31"/>
    <mergeCell ref="B16:F16"/>
    <mergeCell ref="H16:I16"/>
    <mergeCell ref="D17:I17"/>
    <mergeCell ref="D18:I18"/>
    <mergeCell ref="E22:F22"/>
    <mergeCell ref="G22:H22"/>
    <mergeCell ref="D11:I11"/>
    <mergeCell ref="D12:I12"/>
    <mergeCell ref="B13:I13"/>
    <mergeCell ref="B14:I14"/>
    <mergeCell ref="B15:F15"/>
    <mergeCell ref="H15:I15"/>
    <mergeCell ref="B8:I8"/>
    <mergeCell ref="B9:F9"/>
    <mergeCell ref="H9:I9"/>
    <mergeCell ref="B10:F10"/>
    <mergeCell ref="H10:I10"/>
    <mergeCell ref="B5:G5"/>
    <mergeCell ref="H5:I5"/>
    <mergeCell ref="B6:G6"/>
    <mergeCell ref="H6:I6"/>
    <mergeCell ref="B7:I7"/>
  </mergeCells>
  <phoneticPr fontId="41" type="noConversion"/>
  <dataValidations disablePrompts="1" count="6">
    <dataValidation type="list" allowBlank="1" showInputMessage="1" showErrorMessage="1" errorTitle="Unidade Federativa:" error="Escolha uma das opções disponíveis." promptTitle="Unidade Federativa:" prompt="Clique na seta ao lado e escolha uma das opções disponíveis." sqref="G10">
      <formula1>"AC,AL,AM,AP,BA,CE,DF,ES,GO,MA,MG,MS,MT,PA,PB,PE,PI,PR,RJ,RN,RO,RR,RS,SC,SE,SP,TO"</formula1>
      <formula2>0</formula2>
    </dataValidation>
    <dataValidation type="whole" allowBlank="1" showInputMessage="1" showErrorMessage="1" errorTitle="CNPJ:" error="Digite apenas números._x000a_(Ex.: para o CNPJ nº 00.509.968/0001-48, digite apenas &quot;509968000148&quot;)" promptTitle="CNPJ:" prompt="Digite apenas números._x000a_(Ex.: para o CNPJ nº 00.509.968/0001-48, digite apenas &quot;509968000148&quot;)" sqref="H6:I6">
      <formula1>1000100</formula1>
      <formula2>999999999999999</formula2>
    </dataValidation>
    <dataValidation allowBlank="1" showInputMessage="1" showErrorMessage="1" errorTitle="Código de Endereçamento Postal:" error="Insira apenas números._x000a_(Ex.: para o CEP 70.060-100, digite apenas &quot;70060100&quot;)" promptTitle="Código de Endereçamento Postal:" prompt="Insira apenas números._x000a_(Ex.: para o CEP 70.060-100, digite apenas &quot;70060100&quot;)" sqref="H10:I10 H16:I16">
      <formula1>0</formula1>
      <formula2>0</formula2>
    </dataValidation>
    <dataValidation type="whole" allowBlank="1" showInputMessage="1" showErrorMessage="1" errorTitle="Código de Área:" error="Digite apenas números. O código DDD deve ser entre 11 e 99." promptTitle="Código de Área:" prompt="Digite apenas números. O código DDD deve ser entre 11 e 99." sqref="B12">
      <formula1>11</formula1>
      <formula2>99</formula2>
    </dataValidation>
    <dataValidation type="whole" allowBlank="1" showInputMessage="1" showErrorMessage="1" errorTitle="Número do Telefone:" error="Digite apenas números._x000a_(Ex.: Para inserir o telefone 3043-4300, digite &quot;30434300&quot;)" promptTitle="Número do Telefone:" prompt="Digite apenas números._x000a_(Ex.: Para inserir o telefone 3043-4300, digite &quot;30434300&quot;)" sqref="C12 C18">
      <formula1>0</formula1>
      <formula2>99999999</formula2>
    </dataValidation>
    <dataValidation type="list" allowBlank="1" showInputMessage="1" showErrorMessage="1" sqref="B31:C31">
      <formula1>Receita</formula1>
    </dataValidation>
  </dataValidations>
  <printOptions horizontalCentered="1"/>
  <pageMargins left="0.59027777777777779" right="0.59027777777777779" top="0.59027777777777779" bottom="0.59027777777777779" header="0.51180555555555551" footer="0.51180555555555551"/>
  <pageSetup paperSize="9" scale="95" firstPageNumber="0" orientation="portrait" horizontalDpi="300" verticalDpi="300" r:id="rId1"/>
  <headerFooter alignWithMargins="0"/>
  <rowBreaks count="1" manualBreakCount="1">
    <brk id="1" max="16383" man="1"/>
  </rowBreaks>
  <drawing r:id="rId2"/>
  <legacyDrawing r:id="rId3"/>
  <picture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Botão de opção 1">
              <controlPr defaultSize="0" autoFill="0" autoLine="0" autoPict="0">
                <anchor moveWithCells="1" sizeWithCells="1">
                  <from>
                    <xdr:col>0</xdr:col>
                    <xdr:colOff>238125</xdr:colOff>
                    <xdr:row>22</xdr:row>
                    <xdr:rowOff>0</xdr:rowOff>
                  </from>
                  <to>
                    <xdr:col>1</xdr:col>
                    <xdr:colOff>285750</xdr:colOff>
                    <xdr:row>23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6" name="Botão de opção 2">
              <controlPr defaultSize="0" autoFill="0" autoLine="0" autoPict="0">
                <anchor moveWithCells="1" sizeWithCells="1">
                  <from>
                    <xdr:col>0</xdr:col>
                    <xdr:colOff>238125</xdr:colOff>
                    <xdr:row>24</xdr:row>
                    <xdr:rowOff>9525</xdr:rowOff>
                  </from>
                  <to>
                    <xdr:col>1</xdr:col>
                    <xdr:colOff>285750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7" name="Botão de opção 3">
              <controlPr defaultSize="0" autoFill="0" autoLine="0" autoPict="0">
                <anchor moveWithCells="1" sizeWithCells="1">
                  <from>
                    <xdr:col>0</xdr:col>
                    <xdr:colOff>238125</xdr:colOff>
                    <xdr:row>25</xdr:row>
                    <xdr:rowOff>152400</xdr:rowOff>
                  </from>
                  <to>
                    <xdr:col>1</xdr:col>
                    <xdr:colOff>285750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8" name="Option Button 6">
              <controlPr defaultSize="0" autoFill="0" autoLine="0" autoPict="0">
                <anchor moveWithCells="1" sizeWithCells="1">
                  <from>
                    <xdr:col>0</xdr:col>
                    <xdr:colOff>238125</xdr:colOff>
                    <xdr:row>27</xdr:row>
                    <xdr:rowOff>133350</xdr:rowOff>
                  </from>
                  <to>
                    <xdr:col>1</xdr:col>
                    <xdr:colOff>285750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9" name="Option Button 9">
              <controlPr defaultSize="0" autoFill="0" autoLine="0" autoPict="0">
                <anchor moveWithCells="1" sizeWithCells="1">
                  <from>
                    <xdr:col>1</xdr:col>
                    <xdr:colOff>38100</xdr:colOff>
                    <xdr:row>40</xdr:row>
                    <xdr:rowOff>133350</xdr:rowOff>
                  </from>
                  <to>
                    <xdr:col>2</xdr:col>
                    <xdr:colOff>19050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Option Button 10">
              <controlPr defaultSize="0" autoFill="0" autoLine="0" autoPict="0">
                <anchor moveWithCells="1" sizeWithCells="1">
                  <from>
                    <xdr:col>1</xdr:col>
                    <xdr:colOff>38100</xdr:colOff>
                    <xdr:row>42</xdr:row>
                    <xdr:rowOff>142875</xdr:rowOff>
                  </from>
                  <to>
                    <xdr:col>2</xdr:col>
                    <xdr:colOff>19050</xdr:colOff>
                    <xdr:row>43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1" name="Group Box 11">
              <controlPr defaultSize="0" print="0" autoFill="0" autoPict="0">
                <anchor moveWithCells="1">
                  <from>
                    <xdr:col>0</xdr:col>
                    <xdr:colOff>228600</xdr:colOff>
                    <xdr:row>40</xdr:row>
                    <xdr:rowOff>9525</xdr:rowOff>
                  </from>
                  <to>
                    <xdr:col>2</xdr:col>
                    <xdr:colOff>1552575</xdr:colOff>
                    <xdr:row>44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2" name="Group Box 12">
              <controlPr defaultSize="0" print="0" autoFill="0" autoPict="0">
                <anchor moveWithCells="1">
                  <from>
                    <xdr:col>0</xdr:col>
                    <xdr:colOff>238125</xdr:colOff>
                    <xdr:row>21</xdr:row>
                    <xdr:rowOff>123825</xdr:rowOff>
                  </from>
                  <to>
                    <xdr:col>2</xdr:col>
                    <xdr:colOff>1552575</xdr:colOff>
                    <xdr:row>30</xdr:row>
                    <xdr:rowOff>57150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stopIfTrue="1" id="{C26DFD3F-F976-45CF-B137-7F9FDA3B1C2E}">
            <xm:f>Apoio!$E$12=2</xm:f>
            <x14:dxf>
              <font>
                <color theme="1"/>
              </font>
              <fill>
                <patternFill>
                  <bgColor theme="7" tint="0.59996337778862885"/>
                </patternFill>
              </fill>
            </x14:dxf>
          </x14:cfRule>
          <xm:sqref>I43</xm:sqref>
        </x14:conditionalFormatting>
        <x14:conditionalFormatting xmlns:xm="http://schemas.microsoft.com/office/excel/2006/main">
          <x14:cfRule type="expression" priority="1" stopIfTrue="1" id="{9677A457-D363-4912-B358-9BECA1B1CAEC}">
            <xm:f>Apoio!$E$12=1</xm:f>
            <x14:dxf>
              <font>
                <color theme="1"/>
              </font>
              <fill>
                <patternFill>
                  <bgColor theme="7" tint="0.59996337778862885"/>
                </patternFill>
              </fill>
            </x14:dxf>
          </x14:cfRule>
          <xm:sqref>I45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J65483"/>
  <sheetViews>
    <sheetView showOutlineSymbols="0" view="pageBreakPreview" zoomScaleSheetLayoutView="100" workbookViewId="0">
      <selection activeCell="I12" sqref="I12"/>
    </sheetView>
  </sheetViews>
  <sheetFormatPr defaultRowHeight="12.75" x14ac:dyDescent="0.2"/>
  <cols>
    <col min="1" max="1" width="0.7109375" style="67" customWidth="1"/>
    <col min="2" max="2" width="2.28515625" style="67" customWidth="1"/>
    <col min="3" max="3" width="4.7109375" style="67" customWidth="1"/>
    <col min="4" max="4" width="25.85546875" style="67" customWidth="1"/>
    <col min="5" max="5" width="19.7109375" style="67" customWidth="1"/>
    <col min="6" max="6" width="9.7109375" style="67" customWidth="1"/>
    <col min="7" max="7" width="6.7109375" style="67" customWidth="1"/>
    <col min="8" max="9" width="15.7109375" style="67" customWidth="1"/>
    <col min="10" max="16384" width="9.140625" style="67"/>
  </cols>
  <sheetData>
    <row r="1" spans="1:9" ht="18" x14ac:dyDescent="0.2">
      <c r="A1" s="68"/>
      <c r="B1" s="298" t="s">
        <v>305</v>
      </c>
      <c r="E1" s="96"/>
      <c r="F1" s="96"/>
      <c r="G1" s="96"/>
      <c r="H1" s="96"/>
      <c r="I1" s="96"/>
    </row>
    <row r="2" spans="1:9" ht="20.100000000000001" customHeight="1" x14ac:dyDescent="0.2">
      <c r="A2" s="68"/>
      <c r="B2" s="95"/>
      <c r="C2" s="96"/>
      <c r="D2" s="96"/>
      <c r="E2" s="96"/>
      <c r="F2" s="96"/>
      <c r="G2" s="97"/>
      <c r="H2" s="96"/>
      <c r="I2" s="97"/>
    </row>
    <row r="3" spans="1:9" s="24" customFormat="1" ht="16.5" thickBot="1" x14ac:dyDescent="0.25">
      <c r="A3" s="68"/>
      <c r="B3" s="299" t="s">
        <v>288</v>
      </c>
      <c r="H3" s="96"/>
      <c r="I3" s="96"/>
    </row>
    <row r="4" spans="1:9" s="24" customFormat="1" ht="15" customHeight="1" x14ac:dyDescent="0.2">
      <c r="A4" s="68"/>
      <c r="B4" s="438" t="s">
        <v>35</v>
      </c>
      <c r="C4" s="439"/>
      <c r="D4" s="439"/>
      <c r="E4" s="453" t="s">
        <v>36</v>
      </c>
      <c r="F4" s="439"/>
      <c r="G4" s="454"/>
      <c r="H4" s="296" t="s">
        <v>37</v>
      </c>
      <c r="I4" s="297" t="s">
        <v>38</v>
      </c>
    </row>
    <row r="5" spans="1:9" s="24" customFormat="1" ht="15" customHeight="1" thickBot="1" x14ac:dyDescent="0.25">
      <c r="A5" s="68"/>
      <c r="B5" s="455" t="str">
        <f>IF(ISBLANK('Dados Contratação'!$B$6),"-",'Dados Contratação'!$B$6)</f>
        <v>22098/2020</v>
      </c>
      <c r="C5" s="456"/>
      <c r="D5" s="456"/>
      <c r="E5" s="457" t="str">
        <f>IF(ISBLANK('Dados Contratação'!$E$6),"-",'Dados Contratação'!$E$6)</f>
        <v>XX/2020</v>
      </c>
      <c r="F5" s="456"/>
      <c r="G5" s="458"/>
      <c r="H5" s="300">
        <f>IF(ISBLANK('Dados Contratação'!$G$6),"-",'Dados Contratação'!$G$6)</f>
        <v>44119</v>
      </c>
      <c r="I5" s="342">
        <f>IF(ISBLANK('Dados Contratação'!$I$6),"-",'Dados Contratação'!$I$6)</f>
        <v>0.58333333333333337</v>
      </c>
    </row>
    <row r="6" spans="1:9" s="24" customFormat="1" ht="15" customHeight="1" x14ac:dyDescent="0.2">
      <c r="A6" s="68"/>
      <c r="B6" s="438" t="s">
        <v>39</v>
      </c>
      <c r="C6" s="439"/>
      <c r="D6" s="439"/>
      <c r="E6" s="453" t="s">
        <v>40</v>
      </c>
      <c r="F6" s="439"/>
      <c r="G6" s="439"/>
      <c r="H6" s="450" t="s">
        <v>292</v>
      </c>
      <c r="I6" s="451"/>
    </row>
    <row r="7" spans="1:9" s="24" customFormat="1" ht="15" customHeight="1" thickBot="1" x14ac:dyDescent="0.25">
      <c r="A7" s="68"/>
      <c r="B7" s="441" t="str">
        <f>IF(ISBLANK('Dados Contratação'!$B$8),"-",'Dados Contratação'!$B$8)</f>
        <v>CAMPO GRANDE/MS</v>
      </c>
      <c r="C7" s="442"/>
      <c r="D7" s="442"/>
      <c r="E7" s="443" t="str">
        <f>IF(ISBLANK('Dados Contratação'!$E$8),"-",CONCATENATE('Dados Contratação'!$E$8," ",'Dados Contratação'!$F$8))</f>
        <v>30 meses</v>
      </c>
      <c r="F7" s="442"/>
      <c r="G7" s="442"/>
      <c r="H7" s="443" t="str">
        <f>IF(ISBLANK('Dados Contratação'!$I$8),"-",CONCATENATE('Dados Contratação'!$I$8," ",'Dados Contratação'!$J$8))</f>
        <v>60 meses</v>
      </c>
      <c r="I7" s="444"/>
    </row>
    <row r="8" spans="1:9" s="24" customFormat="1" ht="20.100000000000001" customHeight="1" x14ac:dyDescent="0.2">
      <c r="A8" s="68"/>
      <c r="B8" s="95"/>
      <c r="C8" s="96"/>
      <c r="D8" s="96"/>
      <c r="E8" s="96"/>
      <c r="F8" s="96"/>
      <c r="G8" s="97"/>
      <c r="H8" s="98"/>
      <c r="I8" s="97"/>
    </row>
    <row r="9" spans="1:9" s="68" customFormat="1" ht="14.1" customHeight="1" x14ac:dyDescent="0.2">
      <c r="B9" s="69" t="s">
        <v>88</v>
      </c>
      <c r="C9" s="70"/>
      <c r="D9" s="70"/>
      <c r="E9" s="70"/>
      <c r="F9" s="70"/>
      <c r="G9" s="71"/>
      <c r="H9" s="71"/>
      <c r="I9" s="71"/>
    </row>
    <row r="10" spans="1:9" ht="24.95" customHeight="1" x14ac:dyDescent="0.2">
      <c r="A10" s="68"/>
      <c r="B10" s="72"/>
      <c r="C10" s="73"/>
      <c r="D10" s="73"/>
      <c r="E10" s="73"/>
      <c r="F10" s="73"/>
      <c r="G10" s="74"/>
      <c r="H10" s="74"/>
      <c r="I10" s="75" t="s">
        <v>89</v>
      </c>
    </row>
    <row r="11" spans="1:9" ht="12.95" customHeight="1" thickTop="1" thickBot="1" x14ac:dyDescent="0.25">
      <c r="A11" s="68"/>
      <c r="B11" s="76"/>
      <c r="C11" s="77"/>
      <c r="D11" s="73" t="s">
        <v>90</v>
      </c>
      <c r="E11" s="73"/>
      <c r="F11" s="73"/>
      <c r="G11" s="73"/>
      <c r="H11" s="73"/>
      <c r="I11" s="164">
        <v>1100</v>
      </c>
    </row>
    <row r="12" spans="1:9" ht="12.95" customHeight="1" thickTop="1" thickBot="1" x14ac:dyDescent="0.25">
      <c r="A12" s="68"/>
      <c r="B12" s="76"/>
      <c r="C12" s="77"/>
      <c r="D12" s="73" t="s">
        <v>364</v>
      </c>
      <c r="E12" s="73"/>
      <c r="F12" s="73"/>
      <c r="G12" s="73"/>
      <c r="H12" s="73"/>
      <c r="I12" s="164">
        <v>1968.86</v>
      </c>
    </row>
    <row r="13" spans="1:9" ht="12.95" customHeight="1" thickTop="1" thickBot="1" x14ac:dyDescent="0.25">
      <c r="A13" s="68"/>
      <c r="B13" s="76"/>
      <c r="C13" s="77"/>
      <c r="D13" s="73" t="s">
        <v>371</v>
      </c>
      <c r="E13" s="73"/>
      <c r="F13" s="73"/>
      <c r="G13" s="73"/>
      <c r="H13" s="73"/>
      <c r="I13" s="164">
        <v>2907.72</v>
      </c>
    </row>
    <row r="14" spans="1:9" ht="12.95" customHeight="1" thickTop="1" thickBot="1" x14ac:dyDescent="0.25">
      <c r="A14" s="68"/>
      <c r="B14" s="72"/>
      <c r="C14" s="78"/>
      <c r="D14" s="78"/>
      <c r="E14" s="78"/>
      <c r="F14" s="78"/>
      <c r="G14" s="79"/>
      <c r="H14" s="80"/>
      <c r="I14" s="80"/>
    </row>
    <row r="15" spans="1:9" ht="12.95" customHeight="1" thickTop="1" thickBot="1" x14ac:dyDescent="0.25">
      <c r="A15" s="68"/>
      <c r="B15" s="76"/>
      <c r="C15" s="77"/>
      <c r="D15" s="73" t="s">
        <v>293</v>
      </c>
      <c r="E15" s="73"/>
      <c r="F15" s="73"/>
      <c r="G15" s="73"/>
      <c r="H15" s="73"/>
      <c r="I15" s="323">
        <v>43983</v>
      </c>
    </row>
    <row r="16" spans="1:9" ht="12.95" customHeight="1" thickTop="1" x14ac:dyDescent="0.2">
      <c r="A16" s="68"/>
      <c r="B16" s="72"/>
      <c r="C16" s="78"/>
      <c r="D16" s="78"/>
      <c r="E16" s="78"/>
      <c r="F16" s="78"/>
      <c r="G16" s="79"/>
      <c r="H16" s="80"/>
      <c r="I16" s="80"/>
    </row>
    <row r="17" spans="1:10" s="68" customFormat="1" ht="12.95" customHeight="1" x14ac:dyDescent="0.2">
      <c r="B17" s="69" t="s">
        <v>92</v>
      </c>
      <c r="C17" s="70"/>
      <c r="D17" s="70"/>
      <c r="E17" s="70"/>
      <c r="F17" s="70"/>
      <c r="G17" s="71"/>
      <c r="H17" s="71"/>
      <c r="I17" s="71"/>
    </row>
    <row r="18" spans="1:10" ht="20.100000000000001" customHeight="1" x14ac:dyDescent="0.2">
      <c r="A18" s="68"/>
      <c r="B18" s="72"/>
      <c r="C18" s="73"/>
      <c r="D18" s="73"/>
      <c r="E18" s="73"/>
      <c r="F18" s="251"/>
      <c r="G18" s="74"/>
      <c r="H18" s="74"/>
      <c r="I18" s="75" t="s">
        <v>238</v>
      </c>
    </row>
    <row r="19" spans="1:10" ht="12.95" customHeight="1" x14ac:dyDescent="0.2">
      <c r="A19" s="68"/>
      <c r="B19" s="72"/>
      <c r="C19" s="73" t="s">
        <v>93</v>
      </c>
      <c r="D19" s="73"/>
      <c r="E19" s="73"/>
      <c r="F19" s="251"/>
      <c r="G19" s="73"/>
      <c r="H19" s="86"/>
      <c r="I19" s="315">
        <f>IF(Apoio!$E$12=2,'Dados Proponente'!I43,'Dados Proponente'!I45)</f>
        <v>0</v>
      </c>
    </row>
    <row r="20" spans="1:10" ht="12.95" customHeight="1" x14ac:dyDescent="0.2">
      <c r="A20" s="68"/>
      <c r="B20" s="72"/>
      <c r="C20" s="73" t="s">
        <v>94</v>
      </c>
      <c r="D20" s="73"/>
      <c r="E20" s="73"/>
      <c r="F20" s="251"/>
      <c r="G20" s="73"/>
      <c r="H20" s="86"/>
      <c r="I20" s="315">
        <v>1.4999999999999999E-2</v>
      </c>
    </row>
    <row r="21" spans="1:10" ht="12.95" customHeight="1" x14ac:dyDescent="0.2">
      <c r="A21" s="68"/>
      <c r="B21" s="72"/>
      <c r="C21" s="73" t="s">
        <v>95</v>
      </c>
      <c r="D21" s="73"/>
      <c r="E21" s="73"/>
      <c r="F21" s="251"/>
      <c r="G21" s="73"/>
      <c r="H21" s="86"/>
      <c r="I21" s="315">
        <v>0.01</v>
      </c>
    </row>
    <row r="22" spans="1:10" ht="12.95" customHeight="1" x14ac:dyDescent="0.2">
      <c r="A22" s="68"/>
      <c r="B22" s="72"/>
      <c r="C22" s="73" t="s">
        <v>96</v>
      </c>
      <c r="D22" s="73"/>
      <c r="E22" s="73"/>
      <c r="F22" s="251"/>
      <c r="G22" s="73"/>
      <c r="H22" s="86"/>
      <c r="I22" s="315">
        <v>2E-3</v>
      </c>
    </row>
    <row r="23" spans="1:10" ht="12.95" customHeight="1" x14ac:dyDescent="0.2">
      <c r="A23" s="68"/>
      <c r="B23" s="72"/>
      <c r="C23" s="73" t="s">
        <v>97</v>
      </c>
      <c r="D23" s="73"/>
      <c r="E23" s="73"/>
      <c r="F23" s="251"/>
      <c r="G23" s="73"/>
      <c r="H23" s="86"/>
      <c r="I23" s="315">
        <v>2.5000000000000001E-2</v>
      </c>
    </row>
    <row r="24" spans="1:10" ht="12.95" customHeight="1" x14ac:dyDescent="0.2">
      <c r="A24" s="68"/>
      <c r="B24" s="72"/>
      <c r="C24" s="73" t="s">
        <v>98</v>
      </c>
      <c r="D24" s="73"/>
      <c r="E24" s="73"/>
      <c r="F24" s="251"/>
      <c r="G24" s="73"/>
      <c r="H24" s="86"/>
      <c r="I24" s="315">
        <v>0.08</v>
      </c>
      <c r="J24" s="85"/>
    </row>
    <row r="25" spans="1:10" ht="12.95" customHeight="1" x14ac:dyDescent="0.2">
      <c r="A25" s="68"/>
      <c r="B25" s="72"/>
      <c r="C25" s="73" t="s">
        <v>99</v>
      </c>
      <c r="D25" s="73"/>
      <c r="E25" s="73"/>
      <c r="F25" s="251"/>
      <c r="G25" s="73"/>
      <c r="H25" s="86"/>
      <c r="I25" s="82">
        <v>0.01</v>
      </c>
      <c r="J25" s="85"/>
    </row>
    <row r="26" spans="1:10" ht="12.95" customHeight="1" x14ac:dyDescent="0.2">
      <c r="A26" s="68"/>
      <c r="B26" s="72"/>
      <c r="C26" s="73" t="s">
        <v>100</v>
      </c>
      <c r="D26" s="73"/>
      <c r="E26" s="73"/>
      <c r="F26" s="251"/>
      <c r="G26" s="73"/>
      <c r="H26" s="86"/>
      <c r="I26" s="315">
        <v>6.0000000000000001E-3</v>
      </c>
      <c r="J26" s="85"/>
    </row>
    <row r="27" spans="1:10" ht="12.95" customHeight="1" x14ac:dyDescent="0.2">
      <c r="A27" s="68"/>
      <c r="B27" s="72"/>
      <c r="C27" s="73"/>
      <c r="D27" s="73"/>
      <c r="E27" s="73"/>
      <c r="F27" s="251"/>
      <c r="G27" s="73"/>
      <c r="H27" s="86"/>
      <c r="I27" s="90"/>
      <c r="J27" s="85"/>
    </row>
    <row r="28" spans="1:10" ht="12.95" customHeight="1" x14ac:dyDescent="0.2">
      <c r="A28" s="68"/>
      <c r="B28" s="72"/>
      <c r="C28" s="73" t="s">
        <v>101</v>
      </c>
      <c r="D28" s="73"/>
      <c r="E28" s="73"/>
      <c r="F28" s="251"/>
      <c r="G28" s="73"/>
      <c r="H28" s="86"/>
      <c r="I28" s="315">
        <v>8.3299999999999999E-2</v>
      </c>
    </row>
    <row r="29" spans="1:10" ht="12.95" customHeight="1" x14ac:dyDescent="0.2">
      <c r="A29" s="68"/>
      <c r="B29" s="72"/>
      <c r="C29" s="73" t="s">
        <v>102</v>
      </c>
      <c r="D29" s="73"/>
      <c r="E29" s="73"/>
      <c r="F29" s="251"/>
      <c r="G29" s="73"/>
      <c r="H29" s="86"/>
      <c r="I29" s="315">
        <v>2.7800000000000002E-2</v>
      </c>
    </row>
    <row r="30" spans="1:10" ht="12.95" customHeight="1" x14ac:dyDescent="0.2">
      <c r="A30" s="68"/>
      <c r="B30" s="72"/>
      <c r="C30" s="78"/>
      <c r="D30" s="78"/>
      <c r="E30" s="78"/>
      <c r="F30" s="78"/>
      <c r="G30" s="79"/>
      <c r="H30" s="80"/>
      <c r="I30" s="80"/>
    </row>
    <row r="31" spans="1:10" s="68" customFormat="1" ht="12.95" customHeight="1" x14ac:dyDescent="0.2">
      <c r="B31" s="69" t="s">
        <v>108</v>
      </c>
      <c r="C31" s="70"/>
      <c r="D31" s="70"/>
      <c r="E31" s="70"/>
      <c r="F31" s="70"/>
      <c r="G31" s="70"/>
      <c r="H31" s="70"/>
      <c r="I31" s="70"/>
    </row>
    <row r="32" spans="1:10" ht="20.100000000000001" customHeight="1" x14ac:dyDescent="0.2">
      <c r="A32" s="68"/>
      <c r="B32" s="72"/>
      <c r="C32" s="73"/>
      <c r="D32" s="73"/>
      <c r="E32" s="73"/>
      <c r="F32" s="73"/>
      <c r="G32" s="87"/>
      <c r="H32" s="81" t="s">
        <v>347</v>
      </c>
      <c r="I32" s="75" t="s">
        <v>348</v>
      </c>
    </row>
    <row r="33" spans="1:9" ht="12.95" customHeight="1" x14ac:dyDescent="0.2">
      <c r="A33" s="68"/>
      <c r="B33" s="72"/>
      <c r="C33" s="73" t="s">
        <v>109</v>
      </c>
      <c r="D33" s="73"/>
      <c r="E33" s="73"/>
      <c r="F33" s="73"/>
      <c r="G33" s="87"/>
      <c r="H33" s="90"/>
      <c r="I33" s="90"/>
    </row>
    <row r="34" spans="1:9" ht="12.95" customHeight="1" x14ac:dyDescent="0.2">
      <c r="A34" s="68"/>
      <c r="B34" s="88"/>
      <c r="C34" s="99"/>
      <c r="D34" s="100" t="s">
        <v>110</v>
      </c>
      <c r="E34" s="101"/>
      <c r="F34" s="102">
        <v>0</v>
      </c>
      <c r="G34" s="90"/>
      <c r="H34" s="440">
        <f>$F34-$F35</f>
        <v>0</v>
      </c>
      <c r="I34" s="446">
        <f>$F34-$F35</f>
        <v>0</v>
      </c>
    </row>
    <row r="35" spans="1:9" ht="12.95" customHeight="1" x14ac:dyDescent="0.2">
      <c r="A35" s="68"/>
      <c r="B35" s="93"/>
      <c r="C35" s="103"/>
      <c r="D35" s="100" t="s">
        <v>111</v>
      </c>
      <c r="E35" s="100"/>
      <c r="F35" s="102">
        <v>0</v>
      </c>
      <c r="G35" s="90"/>
      <c r="H35" s="440"/>
      <c r="I35" s="446"/>
    </row>
    <row r="36" spans="1:9" ht="12.95" customHeight="1" x14ac:dyDescent="0.2">
      <c r="A36" s="68"/>
      <c r="B36" s="72"/>
      <c r="C36" s="73"/>
      <c r="D36" s="100"/>
      <c r="E36" s="100"/>
      <c r="F36" s="87"/>
      <c r="G36" s="79"/>
      <c r="H36" s="104"/>
      <c r="I36" s="104"/>
    </row>
    <row r="37" spans="1:9" ht="12.95" customHeight="1" x14ac:dyDescent="0.2">
      <c r="A37" s="68"/>
      <c r="B37" s="72"/>
      <c r="C37" s="73" t="s">
        <v>112</v>
      </c>
      <c r="D37" s="100"/>
      <c r="E37" s="101"/>
      <c r="F37" s="101"/>
      <c r="G37" s="87"/>
      <c r="H37" s="90"/>
      <c r="I37" s="90"/>
    </row>
    <row r="38" spans="1:9" ht="12.95" customHeight="1" x14ac:dyDescent="0.2">
      <c r="A38" s="68"/>
      <c r="B38" s="72"/>
      <c r="C38" s="73"/>
      <c r="D38" s="73" t="s">
        <v>110</v>
      </c>
      <c r="E38" s="73"/>
      <c r="F38" s="102">
        <v>0</v>
      </c>
      <c r="G38" s="90"/>
      <c r="H38" s="83">
        <f>$F38</f>
        <v>0</v>
      </c>
      <c r="I38" s="84">
        <f>$F38</f>
        <v>0</v>
      </c>
    </row>
    <row r="39" spans="1:9" ht="12.95" customHeight="1" x14ac:dyDescent="0.2">
      <c r="A39" s="68"/>
      <c r="B39" s="72"/>
      <c r="C39" s="73"/>
      <c r="D39" s="100"/>
      <c r="E39" s="100"/>
      <c r="F39" s="87"/>
      <c r="G39" s="79"/>
      <c r="H39" s="104"/>
      <c r="I39" s="104"/>
    </row>
    <row r="40" spans="1:9" ht="12.95" customHeight="1" x14ac:dyDescent="0.2">
      <c r="A40" s="68"/>
      <c r="B40" s="72"/>
      <c r="C40" s="73" t="s">
        <v>113</v>
      </c>
      <c r="D40" s="73"/>
      <c r="E40" s="73"/>
      <c r="F40" s="73"/>
      <c r="G40" s="87"/>
      <c r="H40" s="90"/>
      <c r="I40" s="90"/>
    </row>
    <row r="41" spans="1:9" ht="12.95" customHeight="1" x14ac:dyDescent="0.2">
      <c r="A41" s="68"/>
      <c r="B41" s="88"/>
      <c r="C41" s="99"/>
      <c r="D41" s="100" t="s">
        <v>110</v>
      </c>
      <c r="E41" s="101"/>
      <c r="F41" s="105">
        <v>0</v>
      </c>
      <c r="G41" s="90"/>
      <c r="H41" s="440">
        <f>ROUND($F41*$F42,2)</f>
        <v>0</v>
      </c>
      <c r="I41" s="446">
        <f>ROUND($F41*$F42,2)</f>
        <v>0</v>
      </c>
    </row>
    <row r="42" spans="1:9" ht="12.95" customHeight="1" x14ac:dyDescent="0.2">
      <c r="A42" s="68"/>
      <c r="B42" s="93"/>
      <c r="C42" s="103"/>
      <c r="D42" s="100" t="s">
        <v>114</v>
      </c>
      <c r="E42" s="100"/>
      <c r="F42" s="82">
        <v>0.01</v>
      </c>
      <c r="G42" s="90"/>
      <c r="H42" s="440"/>
      <c r="I42" s="446"/>
    </row>
    <row r="43" spans="1:9" ht="12.95" customHeight="1" x14ac:dyDescent="0.2">
      <c r="A43" s="68"/>
      <c r="B43" s="72"/>
      <c r="C43" s="73"/>
      <c r="D43" s="100"/>
      <c r="E43" s="100"/>
      <c r="F43" s="87"/>
      <c r="G43" s="79"/>
      <c r="H43" s="104"/>
      <c r="I43" s="104"/>
    </row>
    <row r="44" spans="1:9" ht="12.95" customHeight="1" x14ac:dyDescent="0.2">
      <c r="A44" s="68"/>
      <c r="B44" s="72"/>
      <c r="C44" s="73" t="s">
        <v>115</v>
      </c>
      <c r="D44" s="73"/>
      <c r="E44" s="73" t="s">
        <v>116</v>
      </c>
      <c r="F44" s="73"/>
      <c r="G44" s="87"/>
      <c r="H44" s="90"/>
      <c r="I44" s="90"/>
    </row>
    <row r="45" spans="1:9" ht="12.95" customHeight="1" x14ac:dyDescent="0.2">
      <c r="A45" s="68"/>
      <c r="B45" s="88"/>
      <c r="C45" s="99"/>
      <c r="D45" s="100" t="s">
        <v>117</v>
      </c>
      <c r="E45" s="73"/>
      <c r="F45" s="106">
        <v>18.12</v>
      </c>
      <c r="G45" s="90"/>
      <c r="H45" s="440">
        <f>$F46-$F47</f>
        <v>1.36</v>
      </c>
      <c r="I45" s="446">
        <f>$F46-$F47</f>
        <v>1.36</v>
      </c>
    </row>
    <row r="46" spans="1:9" ht="12.95" customHeight="1" x14ac:dyDescent="0.2">
      <c r="A46" s="68"/>
      <c r="B46" s="76"/>
      <c r="C46" s="107"/>
      <c r="D46" s="100" t="s">
        <v>110</v>
      </c>
      <c r="E46" s="73"/>
      <c r="F46" s="105">
        <f>F45/12</f>
        <v>1.51</v>
      </c>
      <c r="G46" s="90"/>
      <c r="H46" s="440"/>
      <c r="I46" s="446"/>
    </row>
    <row r="47" spans="1:9" ht="12.95" customHeight="1" x14ac:dyDescent="0.2">
      <c r="A47" s="68"/>
      <c r="B47" s="93"/>
      <c r="C47" s="103"/>
      <c r="D47" s="108" t="s">
        <v>118</v>
      </c>
      <c r="E47" s="73"/>
      <c r="F47" s="109">
        <f>ROUND(0.1*F46,2)</f>
        <v>0.15</v>
      </c>
      <c r="G47" s="90"/>
      <c r="H47" s="440"/>
      <c r="I47" s="446"/>
    </row>
    <row r="48" spans="1:9" ht="12.95" customHeight="1" x14ac:dyDescent="0.2">
      <c r="A48" s="68"/>
      <c r="B48" s="110"/>
      <c r="C48" s="100"/>
      <c r="D48" s="100"/>
      <c r="E48" s="100"/>
      <c r="F48" s="79"/>
      <c r="G48" s="79"/>
      <c r="H48" s="104"/>
      <c r="I48" s="104"/>
    </row>
    <row r="49" spans="1:9" ht="12.95" customHeight="1" x14ac:dyDescent="0.2">
      <c r="A49" s="68"/>
      <c r="B49" s="72"/>
      <c r="C49" s="73" t="s">
        <v>370</v>
      </c>
      <c r="D49" s="73"/>
      <c r="E49" s="73" t="s">
        <v>119</v>
      </c>
      <c r="F49" s="73"/>
      <c r="G49" s="87"/>
      <c r="H49" s="90"/>
      <c r="I49" s="90"/>
    </row>
    <row r="50" spans="1:9" ht="12.95" customHeight="1" x14ac:dyDescent="0.2">
      <c r="A50" s="68"/>
      <c r="B50" s="95"/>
      <c r="C50" s="96"/>
      <c r="D50" s="100" t="s">
        <v>120</v>
      </c>
      <c r="E50" s="73"/>
      <c r="F50" s="73"/>
      <c r="G50" s="87"/>
      <c r="H50" s="83">
        <f>$I$12</f>
        <v>1968.86</v>
      </c>
      <c r="I50" s="84">
        <f>$I$13</f>
        <v>2907.72</v>
      </c>
    </row>
    <row r="51" spans="1:9" ht="12.95" customHeight="1" x14ac:dyDescent="0.2">
      <c r="A51" s="68"/>
      <c r="B51" s="76"/>
      <c r="C51" s="107"/>
      <c r="D51" s="111" t="s">
        <v>121</v>
      </c>
      <c r="E51" s="96"/>
      <c r="F51" s="96"/>
      <c r="G51" s="97"/>
      <c r="H51" s="112">
        <f>ROUND(6*H50/100,2)</f>
        <v>118.13</v>
      </c>
      <c r="I51" s="84">
        <f>ROUND(6*I50/100,2)</f>
        <v>174.46</v>
      </c>
    </row>
    <row r="52" spans="1:9" ht="12.95" customHeight="1" thickTop="1" thickBot="1" x14ac:dyDescent="0.25">
      <c r="A52" s="68"/>
      <c r="B52" s="95"/>
      <c r="C52" s="437" t="s">
        <v>122</v>
      </c>
      <c r="D52" s="113" t="s">
        <v>123</v>
      </c>
      <c r="E52" s="317"/>
      <c r="F52" s="115">
        <v>2</v>
      </c>
      <c r="G52" s="90"/>
      <c r="H52" s="452">
        <v>0</v>
      </c>
      <c r="I52" s="449">
        <f xml:space="preserve"> MAX(0,IF($F54=0,0,ROUND((($F52*$F53*$F54)-I$51),2)))</f>
        <v>0.22</v>
      </c>
    </row>
    <row r="53" spans="1:9" ht="12.95" customHeight="1" thickBot="1" x14ac:dyDescent="0.25">
      <c r="A53" s="68"/>
      <c r="B53" s="95"/>
      <c r="C53" s="437"/>
      <c r="D53" s="100" t="s">
        <v>124</v>
      </c>
      <c r="E53" s="318" t="s">
        <v>313</v>
      </c>
      <c r="F53" s="316">
        <f>VLOOKUP($E53,Apoio!$K:$L,2,FALSE)</f>
        <v>20.7958</v>
      </c>
      <c r="G53" s="90"/>
      <c r="H53" s="452"/>
      <c r="I53" s="449"/>
    </row>
    <row r="54" spans="1:9" ht="12.95" customHeight="1" thickBot="1" x14ac:dyDescent="0.25">
      <c r="A54" s="68"/>
      <c r="B54" s="95"/>
      <c r="C54" s="437"/>
      <c r="D54" s="117" t="s">
        <v>125</v>
      </c>
      <c r="E54" s="118"/>
      <c r="F54" s="119">
        <v>4.2</v>
      </c>
      <c r="G54" s="90"/>
      <c r="H54" s="452"/>
      <c r="I54" s="449"/>
    </row>
    <row r="55" spans="1:9" ht="12.95" customHeight="1" x14ac:dyDescent="0.2">
      <c r="A55" s="68"/>
      <c r="B55" s="110"/>
      <c r="C55" s="100"/>
      <c r="D55" s="100"/>
      <c r="E55" s="100"/>
      <c r="F55" s="79"/>
      <c r="G55" s="79"/>
      <c r="H55" s="104"/>
      <c r="I55" s="104"/>
    </row>
    <row r="56" spans="1:9" ht="12.95" customHeight="1" x14ac:dyDescent="0.2">
      <c r="A56" s="68"/>
      <c r="B56" s="72"/>
      <c r="C56" s="73" t="s">
        <v>369</v>
      </c>
      <c r="D56" s="73"/>
      <c r="E56" s="73" t="s">
        <v>119</v>
      </c>
      <c r="F56" s="73"/>
      <c r="G56" s="87"/>
      <c r="H56" s="90"/>
      <c r="I56" s="90"/>
    </row>
    <row r="57" spans="1:9" ht="12.95" customHeight="1" x14ac:dyDescent="0.2">
      <c r="A57" s="68"/>
      <c r="B57" s="95"/>
      <c r="C57" s="96"/>
      <c r="D57" s="100" t="s">
        <v>120</v>
      </c>
      <c r="E57" s="73"/>
      <c r="F57" s="73"/>
      <c r="G57" s="87"/>
      <c r="H57" s="83">
        <f>$I$12</f>
        <v>1968.86</v>
      </c>
      <c r="I57" s="84">
        <f>$I$13</f>
        <v>2907.72</v>
      </c>
    </row>
    <row r="58" spans="1:9" ht="12.95" customHeight="1" x14ac:dyDescent="0.2">
      <c r="A58" s="68"/>
      <c r="B58" s="76"/>
      <c r="C58" s="107"/>
      <c r="D58" s="111" t="s">
        <v>121</v>
      </c>
      <c r="E58" s="96"/>
      <c r="F58" s="96"/>
      <c r="G58" s="97"/>
      <c r="H58" s="112">
        <f>ROUND(6*H57/100,2)</f>
        <v>118.13</v>
      </c>
      <c r="I58" s="84">
        <f>ROUND(6*I57/100,2)</f>
        <v>174.46</v>
      </c>
    </row>
    <row r="59" spans="1:9" ht="12.95" customHeight="1" thickTop="1" thickBot="1" x14ac:dyDescent="0.25">
      <c r="A59" s="68"/>
      <c r="B59" s="95"/>
      <c r="C59" s="447" t="s">
        <v>122</v>
      </c>
      <c r="D59" s="113" t="s">
        <v>123</v>
      </c>
      <c r="E59" s="114"/>
      <c r="F59" s="115">
        <v>2</v>
      </c>
      <c r="G59" s="90"/>
      <c r="H59" s="452">
        <f>MAX(0,IF($F61=0,0,ROUND((($F59*$F60*$F61)-H$58),2)))</f>
        <v>56.55</v>
      </c>
      <c r="I59" s="449">
        <v>0</v>
      </c>
    </row>
    <row r="60" spans="1:9" ht="12.95" customHeight="1" thickTop="1" thickBot="1" x14ac:dyDescent="0.25">
      <c r="A60" s="68"/>
      <c r="B60" s="95"/>
      <c r="C60" s="447"/>
      <c r="D60" s="100" t="s">
        <v>124</v>
      </c>
      <c r="E60" s="318" t="s">
        <v>313</v>
      </c>
      <c r="F60" s="316">
        <f>VLOOKUP($E60,Apoio!$K:$L,2,FALSE)</f>
        <v>20.7958</v>
      </c>
      <c r="G60" s="90"/>
      <c r="H60" s="452"/>
      <c r="I60" s="449"/>
    </row>
    <row r="61" spans="1:9" ht="12.95" customHeight="1" thickTop="1" thickBot="1" x14ac:dyDescent="0.25">
      <c r="A61" s="68"/>
      <c r="B61" s="95"/>
      <c r="C61" s="447"/>
      <c r="D61" s="117" t="s">
        <v>125</v>
      </c>
      <c r="E61" s="118"/>
      <c r="F61" s="119">
        <v>4.2</v>
      </c>
      <c r="G61" s="90"/>
      <c r="H61" s="452"/>
      <c r="I61" s="449"/>
    </row>
    <row r="62" spans="1:9" ht="12.95" customHeight="1" x14ac:dyDescent="0.2">
      <c r="A62" s="68"/>
      <c r="B62" s="72"/>
      <c r="C62" s="73"/>
      <c r="D62" s="73"/>
      <c r="E62" s="73"/>
      <c r="F62" s="87"/>
      <c r="G62" s="87"/>
      <c r="H62" s="120"/>
      <c r="I62" s="120"/>
    </row>
    <row r="63" spans="1:9" ht="12.95" customHeight="1" x14ac:dyDescent="0.2">
      <c r="A63" s="68"/>
      <c r="B63" s="121"/>
      <c r="C63" s="122" t="s">
        <v>367</v>
      </c>
      <c r="D63" s="73"/>
      <c r="E63" s="445" t="s">
        <v>126</v>
      </c>
      <c r="F63" s="445"/>
      <c r="G63" s="97"/>
      <c r="H63" s="90"/>
      <c r="I63" s="90"/>
    </row>
    <row r="64" spans="1:9" ht="12.95" customHeight="1" thickBot="1" x14ac:dyDescent="0.25">
      <c r="A64" s="68"/>
      <c r="B64" s="123"/>
      <c r="C64" s="124"/>
      <c r="D64" s="73" t="s">
        <v>127</v>
      </c>
      <c r="E64" s="73"/>
      <c r="F64" s="125">
        <v>1</v>
      </c>
      <c r="G64" s="90"/>
      <c r="H64" s="440">
        <v>0</v>
      </c>
      <c r="I64" s="446">
        <f>IF($F66=0,0,ROUND((($F64*$F65*$F66)-F$67),2))</f>
        <v>400</v>
      </c>
    </row>
    <row r="65" spans="1:9" ht="12.95" customHeight="1" thickBot="1" x14ac:dyDescent="0.25">
      <c r="A65" s="68"/>
      <c r="B65" s="126"/>
      <c r="C65" s="127"/>
      <c r="D65" s="100" t="s">
        <v>128</v>
      </c>
      <c r="E65" s="318" t="s">
        <v>313</v>
      </c>
      <c r="F65" s="316">
        <f>VLOOKUP($E65,Apoio!$K:$L,2,FALSE)</f>
        <v>20.7958</v>
      </c>
      <c r="G65" s="90"/>
      <c r="H65" s="440"/>
      <c r="I65" s="446"/>
    </row>
    <row r="66" spans="1:9" ht="12.95" customHeight="1" x14ac:dyDescent="0.2">
      <c r="A66" s="68"/>
      <c r="B66" s="126"/>
      <c r="C66" s="127"/>
      <c r="D66" s="128" t="s">
        <v>129</v>
      </c>
      <c r="E66" s="129"/>
      <c r="F66" s="130">
        <v>19.234500000000001</v>
      </c>
      <c r="G66" s="90"/>
      <c r="H66" s="440"/>
      <c r="I66" s="446"/>
    </row>
    <row r="67" spans="1:9" ht="12.95" customHeight="1" x14ac:dyDescent="0.2">
      <c r="A67" s="68"/>
      <c r="B67" s="131"/>
      <c r="C67" s="132"/>
      <c r="D67" s="100" t="s">
        <v>130</v>
      </c>
      <c r="E67" s="100"/>
      <c r="F67" s="106">
        <v>0</v>
      </c>
      <c r="G67" s="90"/>
      <c r="H67" s="440"/>
      <c r="I67" s="446"/>
    </row>
    <row r="68" spans="1:9" ht="12.95" customHeight="1" x14ac:dyDescent="0.2">
      <c r="A68" s="68"/>
      <c r="B68" s="72"/>
      <c r="C68" s="73"/>
      <c r="D68" s="100"/>
      <c r="E68" s="100"/>
      <c r="F68" s="87"/>
      <c r="G68" s="79"/>
      <c r="H68" s="104"/>
      <c r="I68" s="104"/>
    </row>
    <row r="69" spans="1:9" ht="12.95" customHeight="1" x14ac:dyDescent="0.2">
      <c r="A69" s="68"/>
      <c r="B69" s="121"/>
      <c r="C69" s="122" t="s">
        <v>368</v>
      </c>
      <c r="D69" s="73"/>
      <c r="E69" s="445" t="s">
        <v>126</v>
      </c>
      <c r="F69" s="445"/>
      <c r="G69" s="97"/>
      <c r="H69" s="90"/>
      <c r="I69" s="90"/>
    </row>
    <row r="70" spans="1:9" ht="12.95" customHeight="1" thickBot="1" x14ac:dyDescent="0.25">
      <c r="A70" s="68"/>
      <c r="B70" s="123"/>
      <c r="C70" s="124"/>
      <c r="D70" s="73" t="s">
        <v>127</v>
      </c>
      <c r="E70" s="73"/>
      <c r="F70" s="125">
        <v>1</v>
      </c>
      <c r="G70" s="90"/>
      <c r="H70" s="440">
        <f>IF($F72=0,0,ROUND((($F70*$F71*$F72)-F$73),2))</f>
        <v>400</v>
      </c>
      <c r="I70" s="446">
        <v>0</v>
      </c>
    </row>
    <row r="71" spans="1:9" ht="12.95" customHeight="1" thickBot="1" x14ac:dyDescent="0.25">
      <c r="A71" s="68"/>
      <c r="B71" s="126"/>
      <c r="C71" s="127"/>
      <c r="D71" s="100" t="s">
        <v>128</v>
      </c>
      <c r="E71" s="318" t="s">
        <v>313</v>
      </c>
      <c r="F71" s="316">
        <f>VLOOKUP($E71,Apoio!$K:$L,2,FALSE)</f>
        <v>20.7958</v>
      </c>
      <c r="G71" s="90"/>
      <c r="H71" s="440"/>
      <c r="I71" s="446"/>
    </row>
    <row r="72" spans="1:9" ht="12.95" customHeight="1" x14ac:dyDescent="0.2">
      <c r="A72" s="68"/>
      <c r="B72" s="126"/>
      <c r="C72" s="127"/>
      <c r="D72" s="128" t="s">
        <v>129</v>
      </c>
      <c r="E72" s="129"/>
      <c r="F72" s="130">
        <v>19.234500000000001</v>
      </c>
      <c r="G72" s="90"/>
      <c r="H72" s="440"/>
      <c r="I72" s="446"/>
    </row>
    <row r="73" spans="1:9" ht="12.95" customHeight="1" x14ac:dyDescent="0.2">
      <c r="A73" s="68"/>
      <c r="B73" s="131"/>
      <c r="C73" s="132"/>
      <c r="D73" s="100" t="s">
        <v>130</v>
      </c>
      <c r="E73" s="100"/>
      <c r="F73" s="106">
        <v>0</v>
      </c>
      <c r="G73" s="90"/>
      <c r="H73" s="440"/>
      <c r="I73" s="446"/>
    </row>
    <row r="74" spans="1:9" ht="12.95" customHeight="1" x14ac:dyDescent="0.2">
      <c r="A74" s="68"/>
      <c r="B74" s="72"/>
      <c r="C74" s="73"/>
      <c r="D74" s="100"/>
      <c r="E74" s="100"/>
      <c r="F74" s="87"/>
      <c r="G74" s="79"/>
      <c r="H74" s="104"/>
      <c r="I74" s="104"/>
    </row>
    <row r="75" spans="1:9" ht="12.95" customHeight="1" x14ac:dyDescent="0.2">
      <c r="A75" s="68"/>
      <c r="B75" s="110"/>
      <c r="C75" s="133" t="s">
        <v>131</v>
      </c>
      <c r="D75" s="73"/>
      <c r="E75" s="73" t="s">
        <v>116</v>
      </c>
      <c r="F75" s="73"/>
      <c r="G75" s="97"/>
      <c r="H75" s="90"/>
      <c r="I75" s="90"/>
    </row>
    <row r="76" spans="1:9" ht="12.95" customHeight="1" x14ac:dyDescent="0.2">
      <c r="A76" s="68"/>
      <c r="B76" s="134"/>
      <c r="C76" s="88"/>
      <c r="D76" s="73" t="s">
        <v>117</v>
      </c>
      <c r="E76" s="73"/>
      <c r="F76" s="106">
        <v>0</v>
      </c>
      <c r="G76" s="90"/>
      <c r="H76" s="440">
        <f>ROUND(($F76*(1-0.2*$F77))/12,2)</f>
        <v>0</v>
      </c>
      <c r="I76" s="446">
        <f>ROUND(($F76*(1-0.2*$F77))/12,2)</f>
        <v>0</v>
      </c>
    </row>
    <row r="77" spans="1:9" ht="12.95" customHeight="1" thickTop="1" x14ac:dyDescent="0.2">
      <c r="A77" s="68"/>
      <c r="B77" s="135"/>
      <c r="C77" s="93"/>
      <c r="D77" s="73" t="s">
        <v>132</v>
      </c>
      <c r="E77" s="73"/>
      <c r="F77" s="136">
        <v>1</v>
      </c>
      <c r="G77" s="90"/>
      <c r="H77" s="440"/>
      <c r="I77" s="446"/>
    </row>
    <row r="78" spans="1:9" s="150" customFormat="1" ht="20.100000000000001" customHeight="1" x14ac:dyDescent="0.2">
      <c r="A78" s="96"/>
      <c r="C78" s="151"/>
    </row>
    <row r="79" spans="1:9" s="153" customFormat="1" ht="30" customHeight="1" x14ac:dyDescent="0.2">
      <c r="A79" s="152"/>
      <c r="C79" s="448" t="s">
        <v>148</v>
      </c>
      <c r="D79" s="448"/>
      <c r="E79" s="448"/>
      <c r="F79" s="448"/>
      <c r="G79" s="448"/>
      <c r="H79" s="448"/>
      <c r="I79" s="448"/>
    </row>
    <row r="65483" hidden="1" x14ac:dyDescent="0.2"/>
  </sheetData>
  <mergeCells count="31">
    <mergeCell ref="I45:I47"/>
    <mergeCell ref="E6:G6"/>
    <mergeCell ref="H59:H61"/>
    <mergeCell ref="H34:H35"/>
    <mergeCell ref="H52:H54"/>
    <mergeCell ref="B4:D4"/>
    <mergeCell ref="E4:G4"/>
    <mergeCell ref="B5:D5"/>
    <mergeCell ref="E5:G5"/>
    <mergeCell ref="H45:H47"/>
    <mergeCell ref="C79:I79"/>
    <mergeCell ref="H64:H67"/>
    <mergeCell ref="I64:I67"/>
    <mergeCell ref="H76:H77"/>
    <mergeCell ref="I76:I77"/>
    <mergeCell ref="C52:C54"/>
    <mergeCell ref="B6:D6"/>
    <mergeCell ref="H70:H73"/>
    <mergeCell ref="B7:D7"/>
    <mergeCell ref="E7:G7"/>
    <mergeCell ref="H7:I7"/>
    <mergeCell ref="E69:F69"/>
    <mergeCell ref="H41:H42"/>
    <mergeCell ref="I70:I73"/>
    <mergeCell ref="C59:C61"/>
    <mergeCell ref="I59:I61"/>
    <mergeCell ref="E63:F63"/>
    <mergeCell ref="I52:I54"/>
    <mergeCell ref="H6:I6"/>
    <mergeCell ref="I41:I42"/>
    <mergeCell ref="I34:I35"/>
  </mergeCells>
  <phoneticPr fontId="41" type="noConversion"/>
  <conditionalFormatting sqref="G8 G75 F62 G62:G63 F64 G30 G49:G51 F43 G37 F39 G39:G40 F48:G48 G43:G44 G56:G58 F55:G55 G32:G33 F36:G36 I8 G18:H18 G10:H10 G16 F29 G14 G2 I2 F68:G68 G69 F70 F74:G74">
    <cfRule type="cellIs" dxfId="4" priority="1" stopIfTrue="1" operator="equal">
      <formula>0</formula>
    </cfRule>
  </conditionalFormatting>
  <dataValidations disablePrompts="1" count="1">
    <dataValidation type="list" allowBlank="1" showErrorMessage="1" sqref="E53 E65 E60 E71">
      <formula1>Periodo</formula1>
    </dataValidation>
  </dataValidations>
  <printOptions horizontalCentered="1"/>
  <pageMargins left="0.39370078740157483" right="0.39370078740157483" top="0.70866141732283472" bottom="0.59055118110236227" header="0.39370078740157483" footer="0.31496062992125984"/>
  <pageSetup paperSize="9" scale="71" firstPageNumber="0" orientation="portrait" horizontalDpi="300" verticalDpi="300" r:id="rId1"/>
  <headerFooter alignWithMargins="0">
    <oddHeader>&amp;CCOMPOSIÇÃO DE ENCARGOS E BENEFÍCIOS LEGAIS</oddHeader>
    <oddFooter>&amp;C&amp;"Arial,Itálico"&amp;8&amp;P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A1:J27"/>
  <sheetViews>
    <sheetView showGridLines="0" showOutlineSymbols="0" topLeftCell="A2" zoomScaleNormal="100" zoomScaleSheetLayoutView="100" workbookViewId="0">
      <selection activeCell="E19" sqref="E19"/>
    </sheetView>
  </sheetViews>
  <sheetFormatPr defaultRowHeight="12.75" x14ac:dyDescent="0.2"/>
  <cols>
    <col min="1" max="1" width="0.7109375" style="67" customWidth="1"/>
    <col min="2" max="2" width="2.28515625" style="67" customWidth="1"/>
    <col min="3" max="3" width="4.7109375" style="67" customWidth="1"/>
    <col min="4" max="4" width="25.7109375" style="67" customWidth="1"/>
    <col min="5" max="7" width="9.7109375" style="67" customWidth="1"/>
    <col min="8" max="9" width="16.7109375" style="67" customWidth="1"/>
    <col min="10" max="16384" width="9.140625" style="67"/>
  </cols>
  <sheetData>
    <row r="1" spans="1:9" ht="18" x14ac:dyDescent="0.2">
      <c r="B1" s="298" t="s">
        <v>306</v>
      </c>
    </row>
    <row r="2" spans="1:9" ht="20.100000000000001" customHeight="1" x14ac:dyDescent="0.2"/>
    <row r="3" spans="1:9" s="24" customFormat="1" ht="16.5" thickBot="1" x14ac:dyDescent="0.25">
      <c r="B3" s="299" t="s">
        <v>288</v>
      </c>
    </row>
    <row r="4" spans="1:9" s="24" customFormat="1" ht="15" customHeight="1" x14ac:dyDescent="0.2">
      <c r="B4" s="438" t="s">
        <v>35</v>
      </c>
      <c r="C4" s="439"/>
      <c r="D4" s="439"/>
      <c r="E4" s="453" t="s">
        <v>36</v>
      </c>
      <c r="F4" s="439"/>
      <c r="G4" s="454"/>
      <c r="H4" s="296" t="s">
        <v>37</v>
      </c>
      <c r="I4" s="297" t="s">
        <v>38</v>
      </c>
    </row>
    <row r="5" spans="1:9" s="24" customFormat="1" ht="15" customHeight="1" thickBot="1" x14ac:dyDescent="0.25">
      <c r="B5" s="455" t="str">
        <f>IF(ISBLANK('Dados Contratação'!$B$6),"-",'Dados Contratação'!$B$6)</f>
        <v>22098/2020</v>
      </c>
      <c r="C5" s="456"/>
      <c r="D5" s="456"/>
      <c r="E5" s="457" t="str">
        <f>IF(ISBLANK('Dados Contratação'!$E$6),"-",'Dados Contratação'!$E$6)</f>
        <v>XX/2020</v>
      </c>
      <c r="F5" s="456"/>
      <c r="G5" s="458"/>
      <c r="H5" s="300">
        <f>IF(ISBLANK('Dados Contratação'!$G$6),"-",'Dados Contratação'!$G$6)</f>
        <v>44119</v>
      </c>
      <c r="I5" s="342">
        <f>IF(ISBLANK('Dados Contratação'!$I$6),"-",'Dados Contratação'!$I$6)</f>
        <v>0.58333333333333337</v>
      </c>
    </row>
    <row r="6" spans="1:9" s="24" customFormat="1" ht="15" customHeight="1" x14ac:dyDescent="0.2">
      <c r="B6" s="438" t="s">
        <v>39</v>
      </c>
      <c r="C6" s="439"/>
      <c r="D6" s="439"/>
      <c r="E6" s="453" t="s">
        <v>40</v>
      </c>
      <c r="F6" s="439"/>
      <c r="G6" s="439"/>
      <c r="H6" s="450" t="s">
        <v>292</v>
      </c>
      <c r="I6" s="451"/>
    </row>
    <row r="7" spans="1:9" s="24" customFormat="1" ht="15" customHeight="1" thickBot="1" x14ac:dyDescent="0.25">
      <c r="B7" s="441" t="str">
        <f>IF(ISBLANK('Dados Contratação'!$B$8),"-",'Dados Contratação'!$B$8)</f>
        <v>CAMPO GRANDE/MS</v>
      </c>
      <c r="C7" s="442"/>
      <c r="D7" s="442"/>
      <c r="E7" s="443" t="str">
        <f>IF(ISBLANK('Dados Contratação'!$E$8),"-",CONCATENATE('Dados Contratação'!$E$8," ",'Dados Contratação'!$F$8))</f>
        <v>30 meses</v>
      </c>
      <c r="F7" s="442"/>
      <c r="G7" s="442"/>
      <c r="H7" s="443" t="str">
        <f>IF(ISBLANK('Dados Contratação'!$I$8),"-",CONCATENATE('Dados Contratação'!$I$8," ",'Dados Contratação'!$J$8))</f>
        <v>60 meses</v>
      </c>
      <c r="I7" s="444"/>
    </row>
    <row r="8" spans="1:9" s="24" customFormat="1" ht="20.100000000000001" customHeight="1" x14ac:dyDescent="0.2">
      <c r="B8" s="69"/>
      <c r="C8" s="70"/>
      <c r="D8" s="70"/>
    </row>
    <row r="9" spans="1:9" s="68" customFormat="1" ht="15" customHeight="1" x14ac:dyDescent="0.2">
      <c r="B9" s="138"/>
      <c r="C9" s="71"/>
      <c r="D9" s="71"/>
      <c r="E9" s="459" t="str">
        <f>'Dados Contratação'!C21</f>
        <v xml:space="preserve">Técnico de Informática </v>
      </c>
      <c r="F9" s="460"/>
      <c r="G9" s="460"/>
      <c r="H9" s="460"/>
      <c r="I9" s="461"/>
    </row>
    <row r="10" spans="1:9" ht="26.1" customHeight="1" x14ac:dyDescent="0.2">
      <c r="A10" s="68"/>
      <c r="B10" s="72"/>
      <c r="C10" s="140"/>
      <c r="D10" s="73"/>
      <c r="E10" s="158" t="s">
        <v>158</v>
      </c>
      <c r="F10" s="158" t="s">
        <v>156</v>
      </c>
      <c r="G10" s="158" t="s">
        <v>155</v>
      </c>
      <c r="H10" s="81" t="s">
        <v>149</v>
      </c>
      <c r="I10" s="75" t="s">
        <v>291</v>
      </c>
    </row>
    <row r="11" spans="1:9" ht="12.95" customHeight="1" x14ac:dyDescent="0.2">
      <c r="A11" s="68"/>
      <c r="B11" s="155" t="s">
        <v>150</v>
      </c>
      <c r="C11" s="156" t="s">
        <v>152</v>
      </c>
      <c r="D11" s="73"/>
      <c r="E11" s="116" t="s">
        <v>289</v>
      </c>
      <c r="F11" s="116">
        <v>2</v>
      </c>
      <c r="G11" s="116">
        <v>6</v>
      </c>
      <c r="H11" s="320">
        <v>87.84</v>
      </c>
      <c r="I11" s="84">
        <f>IF(H11=0,0,TRUNC(ROUND(F11*H11/G11,2),2))</f>
        <v>29.28</v>
      </c>
    </row>
    <row r="12" spans="1:9" ht="12.95" customHeight="1" x14ac:dyDescent="0.2">
      <c r="A12" s="68"/>
      <c r="B12" s="155" t="s">
        <v>150</v>
      </c>
      <c r="C12" s="156" t="s">
        <v>151</v>
      </c>
      <c r="D12" s="73"/>
      <c r="E12" s="116" t="s">
        <v>289</v>
      </c>
      <c r="F12" s="116">
        <v>3</v>
      </c>
      <c r="G12" s="116">
        <v>6</v>
      </c>
      <c r="H12" s="320">
        <v>67.150000000000006</v>
      </c>
      <c r="I12" s="84">
        <f>IF(H12=0,0,TRUNC(ROUND(F12*H12/G12,2),2))</f>
        <v>33.58</v>
      </c>
    </row>
    <row r="13" spans="1:9" ht="12.95" customHeight="1" x14ac:dyDescent="0.2">
      <c r="A13" s="68"/>
      <c r="B13" s="155" t="s">
        <v>150</v>
      </c>
      <c r="C13" s="156" t="s">
        <v>153</v>
      </c>
      <c r="D13" s="73"/>
      <c r="E13" s="116" t="s">
        <v>290</v>
      </c>
      <c r="F13" s="116">
        <v>5</v>
      </c>
      <c r="G13" s="116">
        <v>6</v>
      </c>
      <c r="H13" s="320">
        <v>11.9</v>
      </c>
      <c r="I13" s="84">
        <f>IF(H13=0,0,TRUNC(ROUND(F13*H13/G13,2),2))</f>
        <v>9.92</v>
      </c>
    </row>
    <row r="14" spans="1:9" ht="12.95" customHeight="1" x14ac:dyDescent="0.2">
      <c r="A14" s="68"/>
      <c r="B14" s="157" t="s">
        <v>150</v>
      </c>
      <c r="C14" s="156" t="s">
        <v>349</v>
      </c>
      <c r="D14" s="73"/>
      <c r="E14" s="116" t="s">
        <v>290</v>
      </c>
      <c r="F14" s="116">
        <v>2</v>
      </c>
      <c r="G14" s="116">
        <v>6</v>
      </c>
      <c r="H14" s="320">
        <v>116.18</v>
      </c>
      <c r="I14" s="84">
        <f>IF(H14=0,0,TRUNC(ROUND(F14*H14/G14,2),2))</f>
        <v>38.729999999999997</v>
      </c>
    </row>
    <row r="15" spans="1:9" ht="12.95" customHeight="1" thickBot="1" x14ac:dyDescent="0.25">
      <c r="A15" s="68"/>
      <c r="B15" s="157" t="s">
        <v>150</v>
      </c>
      <c r="C15" s="156" t="s">
        <v>154</v>
      </c>
      <c r="D15" s="73"/>
      <c r="E15" s="116" t="s">
        <v>289</v>
      </c>
      <c r="F15" s="116">
        <v>1</v>
      </c>
      <c r="G15" s="116">
        <v>6</v>
      </c>
      <c r="H15" s="320">
        <v>51.92</v>
      </c>
      <c r="I15" s="84">
        <f>IF(H15=0,0,TRUNC(ROUND(F15*H15/G15,2),2))</f>
        <v>8.65</v>
      </c>
    </row>
    <row r="16" spans="1:9" ht="12.95" customHeight="1" thickTop="1" thickBot="1" x14ac:dyDescent="0.25">
      <c r="A16" s="68"/>
      <c r="B16" s="145"/>
      <c r="C16" s="146" t="s">
        <v>157</v>
      </c>
      <c r="D16" s="147"/>
      <c r="E16" s="147"/>
      <c r="F16" s="148"/>
      <c r="G16" s="148"/>
      <c r="H16" s="149"/>
      <c r="I16" s="149">
        <f>SUM(I11:I15)</f>
        <v>120.16</v>
      </c>
    </row>
    <row r="17" spans="1:10" s="150" customFormat="1" ht="20.100000000000001" customHeight="1" thickTop="1" x14ac:dyDescent="0.2">
      <c r="A17" s="96"/>
      <c r="B17" s="69"/>
      <c r="C17" s="70"/>
      <c r="D17" s="70"/>
      <c r="E17" s="70"/>
      <c r="F17" s="70"/>
      <c r="G17" s="70"/>
      <c r="H17" s="70"/>
      <c r="I17" s="70"/>
    </row>
    <row r="18" spans="1:10" s="150" customFormat="1" ht="15" customHeight="1" x14ac:dyDescent="0.2">
      <c r="A18" s="96"/>
      <c r="B18" s="138"/>
      <c r="C18" s="71"/>
      <c r="D18" s="71"/>
      <c r="E18" s="462" t="str">
        <f>'Dados Contratação'!C20</f>
        <v>Analista Supervisor</v>
      </c>
      <c r="F18" s="463"/>
      <c r="G18" s="463"/>
      <c r="H18" s="463"/>
      <c r="I18" s="464"/>
    </row>
    <row r="19" spans="1:10" ht="26.1" customHeight="1" x14ac:dyDescent="0.2">
      <c r="A19" s="68"/>
      <c r="B19" s="72"/>
      <c r="C19" s="140"/>
      <c r="D19" s="73"/>
      <c r="E19" s="158" t="s">
        <v>158</v>
      </c>
      <c r="F19" s="158" t="s">
        <v>156</v>
      </c>
      <c r="G19" s="158" t="s">
        <v>155</v>
      </c>
      <c r="H19" s="81" t="s">
        <v>149</v>
      </c>
      <c r="I19" s="75" t="s">
        <v>291</v>
      </c>
    </row>
    <row r="20" spans="1:10" ht="12.95" customHeight="1" x14ac:dyDescent="0.2">
      <c r="A20" s="68"/>
      <c r="B20" s="155" t="s">
        <v>150</v>
      </c>
      <c r="C20" s="156" t="s">
        <v>152</v>
      </c>
      <c r="D20" s="73"/>
      <c r="E20" s="116" t="s">
        <v>289</v>
      </c>
      <c r="F20" s="116">
        <v>2</v>
      </c>
      <c r="G20" s="116">
        <v>6</v>
      </c>
      <c r="H20" s="320">
        <v>87.84</v>
      </c>
      <c r="I20" s="84">
        <f>IF(H20=0,0,TRUNC(ROUND(F20*H20/G20,2),2))</f>
        <v>29.28</v>
      </c>
    </row>
    <row r="21" spans="1:10" ht="12.95" customHeight="1" x14ac:dyDescent="0.2">
      <c r="A21" s="68"/>
      <c r="B21" s="155" t="s">
        <v>150</v>
      </c>
      <c r="C21" s="156" t="s">
        <v>151</v>
      </c>
      <c r="D21" s="73"/>
      <c r="E21" s="116" t="s">
        <v>289</v>
      </c>
      <c r="F21" s="116">
        <v>3</v>
      </c>
      <c r="G21" s="116">
        <v>6</v>
      </c>
      <c r="H21" s="320">
        <v>67.150000000000006</v>
      </c>
      <c r="I21" s="84">
        <f>IF(H21=0,0,TRUNC(ROUND(F21*H21/G21,2),2))</f>
        <v>33.58</v>
      </c>
    </row>
    <row r="22" spans="1:10" ht="12.95" customHeight="1" x14ac:dyDescent="0.2">
      <c r="A22" s="68"/>
      <c r="B22" s="155" t="s">
        <v>150</v>
      </c>
      <c r="C22" s="156" t="s">
        <v>153</v>
      </c>
      <c r="D22" s="73"/>
      <c r="E22" s="116" t="s">
        <v>290</v>
      </c>
      <c r="F22" s="116">
        <v>5</v>
      </c>
      <c r="G22" s="116">
        <v>6</v>
      </c>
      <c r="H22" s="320">
        <v>11.9</v>
      </c>
      <c r="I22" s="84">
        <f>IF(H22=0,0,TRUNC(ROUND(F22*H22/G22,2),2))</f>
        <v>9.92</v>
      </c>
    </row>
    <row r="23" spans="1:10" ht="12.95" customHeight="1" x14ac:dyDescent="0.2">
      <c r="A23" s="68"/>
      <c r="B23" s="157" t="s">
        <v>150</v>
      </c>
      <c r="C23" s="156" t="s">
        <v>349</v>
      </c>
      <c r="D23" s="73"/>
      <c r="E23" s="116" t="s">
        <v>290</v>
      </c>
      <c r="F23" s="116">
        <v>2</v>
      </c>
      <c r="G23" s="116">
        <v>6</v>
      </c>
      <c r="H23" s="320">
        <v>116.18</v>
      </c>
      <c r="I23" s="84">
        <f>IF(H23=0,0,TRUNC(ROUND(F23*H23/G23,2),2))</f>
        <v>38.729999999999997</v>
      </c>
    </row>
    <row r="24" spans="1:10" ht="12.95" customHeight="1" thickBot="1" x14ac:dyDescent="0.25">
      <c r="A24" s="68"/>
      <c r="B24" s="157" t="s">
        <v>150</v>
      </c>
      <c r="C24" s="156" t="s">
        <v>154</v>
      </c>
      <c r="D24" s="73"/>
      <c r="E24" s="116" t="s">
        <v>289</v>
      </c>
      <c r="F24" s="116">
        <v>1</v>
      </c>
      <c r="G24" s="116">
        <v>6</v>
      </c>
      <c r="H24" s="320">
        <v>51.92</v>
      </c>
      <c r="I24" s="84">
        <f>IF(H24=0,0,TRUNC(ROUND(F24*H24/G24,2),2))</f>
        <v>8.65</v>
      </c>
    </row>
    <row r="25" spans="1:10" ht="12.95" customHeight="1" thickTop="1" thickBot="1" x14ac:dyDescent="0.25">
      <c r="A25" s="68"/>
      <c r="B25" s="145"/>
      <c r="C25" s="146" t="s">
        <v>157</v>
      </c>
      <c r="D25" s="147"/>
      <c r="E25" s="147"/>
      <c r="F25" s="148"/>
      <c r="G25" s="148"/>
      <c r="H25" s="149"/>
      <c r="I25" s="149">
        <f>SUM(I20:I24)</f>
        <v>120.16</v>
      </c>
    </row>
    <row r="26" spans="1:10" s="150" customFormat="1" ht="20.100000000000001" customHeight="1" thickTop="1" x14ac:dyDescent="0.2">
      <c r="A26" s="96"/>
      <c r="C26" s="151"/>
    </row>
    <row r="27" spans="1:10" s="153" customFormat="1" ht="30" customHeight="1" x14ac:dyDescent="0.2">
      <c r="A27" s="152"/>
      <c r="C27" s="448" t="s">
        <v>148</v>
      </c>
      <c r="D27" s="448"/>
      <c r="E27" s="448"/>
      <c r="F27" s="448"/>
      <c r="G27" s="448"/>
      <c r="H27" s="448"/>
      <c r="I27" s="448"/>
      <c r="J27" s="154"/>
    </row>
  </sheetData>
  <mergeCells count="13">
    <mergeCell ref="E9:I9"/>
    <mergeCell ref="E18:I18"/>
    <mergeCell ref="C27:I27"/>
    <mergeCell ref="H6:I6"/>
    <mergeCell ref="H7:I7"/>
    <mergeCell ref="E4:G4"/>
    <mergeCell ref="E6:G6"/>
    <mergeCell ref="E7:G7"/>
    <mergeCell ref="B5:D5"/>
    <mergeCell ref="B4:D4"/>
    <mergeCell ref="B6:D6"/>
    <mergeCell ref="B7:D7"/>
    <mergeCell ref="E5:G5"/>
  </mergeCells>
  <phoneticPr fontId="41" type="noConversion"/>
  <conditionalFormatting sqref="F25:G25 F16:G16">
    <cfRule type="cellIs" dxfId="3" priority="1" stopIfTrue="1" operator="equal">
      <formula>0</formula>
    </cfRule>
  </conditionalFormatting>
  <printOptions horizontalCentered="1"/>
  <pageMargins left="0.59055118110236227" right="0.59055118110236227" top="0.98425196850393704" bottom="0.78740157480314965" header="0.39370078740157483" footer="0.31496062992125984"/>
  <pageSetup paperSize="9" firstPageNumber="0" orientation="landscape" horizontalDpi="300" verticalDpi="300" r:id="rId1"/>
  <headerFooter alignWithMargins="0">
    <oddHeader>&amp;CINSUMOS DIVERSOS - UNIFORMES</oddHeader>
    <oddFooter>&amp;C&amp;"Arial,Itálico"&amp;8&amp;P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Y65533"/>
  <sheetViews>
    <sheetView showOutlineSymbols="0" view="pageBreakPreview" topLeftCell="A46" zoomScale="170" zoomScaleSheetLayoutView="170" workbookViewId="0">
      <selection activeCell="I117" sqref="I117"/>
    </sheetView>
  </sheetViews>
  <sheetFormatPr defaultColWidth="0" defaultRowHeight="11.25" x14ac:dyDescent="0.2"/>
  <cols>
    <col min="1" max="1" width="0.7109375" style="96" customWidth="1"/>
    <col min="2" max="2" width="2.7109375" style="150" customWidth="1"/>
    <col min="3" max="3" width="2.7109375" style="151" customWidth="1"/>
    <col min="4" max="4" width="4.7109375" style="150" customWidth="1"/>
    <col min="5" max="5" width="10.28515625" style="150" customWidth="1"/>
    <col min="6" max="6" width="11.7109375" style="150" customWidth="1"/>
    <col min="7" max="8" width="12.7109375" style="150" customWidth="1"/>
    <col min="9" max="9" width="10.7109375" style="150" customWidth="1"/>
    <col min="10" max="11" width="14.7109375" style="150" customWidth="1"/>
    <col min="12" max="16384" width="0" style="150" hidden="1"/>
  </cols>
  <sheetData>
    <row r="1" spans="2:25" s="96" customFormat="1" ht="14.1" customHeight="1" x14ac:dyDescent="0.2">
      <c r="B1" s="298" t="s">
        <v>353</v>
      </c>
      <c r="C1" s="298"/>
      <c r="D1" s="298"/>
      <c r="E1" s="298"/>
      <c r="F1" s="298"/>
      <c r="G1" s="298"/>
      <c r="H1" s="298"/>
      <c r="I1" s="298"/>
      <c r="J1" s="298"/>
      <c r="K1" s="298"/>
      <c r="L1" s="473"/>
      <c r="M1" s="473"/>
      <c r="N1" s="473"/>
      <c r="O1" s="473"/>
      <c r="P1" s="473"/>
      <c r="Q1" s="473"/>
      <c r="R1" s="473"/>
      <c r="S1" s="473"/>
      <c r="T1" s="473"/>
      <c r="U1" s="473"/>
      <c r="V1" s="473"/>
      <c r="W1" s="473"/>
      <c r="X1" s="473"/>
      <c r="Y1" s="473"/>
    </row>
    <row r="2" spans="2:25" s="96" customFormat="1" ht="9.9499999999999993" customHeight="1" x14ac:dyDescent="0.2">
      <c r="B2" s="174"/>
      <c r="C2" s="176"/>
      <c r="D2" s="177"/>
      <c r="E2" s="178"/>
      <c r="F2" s="179"/>
      <c r="G2" s="179"/>
      <c r="H2" s="179"/>
      <c r="I2" s="179"/>
      <c r="J2" s="179"/>
      <c r="K2" s="179"/>
    </row>
    <row r="3" spans="2:25" s="96" customFormat="1" ht="9.9499999999999993" customHeight="1" x14ac:dyDescent="0.2"/>
    <row r="4" spans="2:25" s="96" customFormat="1" ht="14.1" customHeight="1" x14ac:dyDescent="0.2">
      <c r="B4" s="483" t="s">
        <v>161</v>
      </c>
      <c r="C4" s="483"/>
      <c r="D4" s="483"/>
      <c r="E4" s="476" t="str">
        <f>IF(ISBLANK('Dados Contratação'!$B$6),"000/2014",'Dados Contratação'!$B$6)</f>
        <v>22098/2020</v>
      </c>
      <c r="F4" s="477"/>
      <c r="G4" s="170"/>
      <c r="I4" s="171" t="s">
        <v>162</v>
      </c>
      <c r="J4" s="474" t="str">
        <f>IF(ISBLANK('Dados Contratação'!$E$6),"(NÚMERO DA LICITAÇÃO)",'Dados Contratação'!$E$6)</f>
        <v>XX/2020</v>
      </c>
      <c r="K4" s="475"/>
    </row>
    <row r="5" spans="2:25" s="173" customFormat="1" ht="39.950000000000003" customHeight="1" x14ac:dyDescent="0.2">
      <c r="B5" s="174" t="s">
        <v>163</v>
      </c>
      <c r="C5" s="174"/>
      <c r="D5" s="175"/>
      <c r="E5" s="467" t="str">
        <f>'Dados Contratação'!B13</f>
        <v>Contratação de empresa para fornecimento de mão de obra para prestação de serviços especializados e contínuos de Tecnologia da Informação para composição de Central de Serviços no modelo ITIL (Information Technology Infrastructure Library), visando atender às necessidades do TRT da 24ª Região</v>
      </c>
      <c r="F5" s="467"/>
      <c r="G5" s="468"/>
      <c r="H5" s="468"/>
      <c r="I5" s="468"/>
      <c r="J5" s="467"/>
      <c r="K5" s="467"/>
    </row>
    <row r="6" spans="2:25" s="96" customFormat="1" ht="9.9499999999999993" customHeight="1" x14ac:dyDescent="0.2"/>
    <row r="7" spans="2:25" s="96" customFormat="1" ht="14.1" customHeight="1" x14ac:dyDescent="0.15">
      <c r="B7" s="71" t="s">
        <v>164</v>
      </c>
      <c r="C7" s="169"/>
      <c r="D7" s="169"/>
      <c r="E7" s="309">
        <f>IF(ISBLANK('Dados Contratação'!$G$6),"dd/mm/aaaa",'Dados Contratação'!$G$6)</f>
        <v>44119</v>
      </c>
      <c r="F7" s="170"/>
      <c r="G7" s="170"/>
      <c r="H7" s="171" t="s">
        <v>165</v>
      </c>
      <c r="I7" s="310">
        <f>IF(ISBLANK('Dados Contratação'!$I$6),"00:00",'Dados Contratação'!$I$6)</f>
        <v>0.58333333333333337</v>
      </c>
      <c r="J7" s="170"/>
      <c r="K7" s="170"/>
    </row>
    <row r="8" spans="2:25" s="96" customFormat="1" ht="6" customHeight="1" x14ac:dyDescent="0.2"/>
    <row r="9" spans="2:25" s="96" customFormat="1" ht="14.1" customHeight="1" x14ac:dyDescent="0.2">
      <c r="B9" s="71" t="s">
        <v>166</v>
      </c>
      <c r="E9" s="470" t="str">
        <f>IF(ISBLANK('Dados Proponente'!$B$6),"(NOME DA EMPRESA)",'Dados Proponente'!$B$6)</f>
        <v>(NOME DA EMPRESA)</v>
      </c>
      <c r="F9" s="470"/>
      <c r="G9" s="470"/>
      <c r="H9" s="470"/>
      <c r="I9" s="470"/>
      <c r="J9" s="470"/>
      <c r="K9" s="470"/>
    </row>
    <row r="10" spans="2:25" s="96" customFormat="1" ht="6" customHeight="1" x14ac:dyDescent="0.2"/>
    <row r="11" spans="2:25" s="96" customFormat="1" ht="14.1" customHeight="1" x14ac:dyDescent="0.2">
      <c r="B11" s="71" t="s">
        <v>167</v>
      </c>
      <c r="C11" s="171"/>
      <c r="D11" s="171"/>
      <c r="E11" s="465" t="str">
        <f>IF(ISBLANK('Dados Proponente'!$H$6),"(CNPJ)",'Dados Proponente'!$H$6)</f>
        <v>(CNPJ)</v>
      </c>
      <c r="F11" s="465"/>
      <c r="G11" s="465"/>
      <c r="H11" s="465"/>
      <c r="I11" s="465"/>
      <c r="J11" s="172"/>
      <c r="K11" s="172"/>
    </row>
    <row r="12" spans="2:25" s="96" customFormat="1" ht="9.9499999999999993" customHeight="1" x14ac:dyDescent="0.2">
      <c r="B12" s="174"/>
      <c r="C12" s="176"/>
      <c r="D12" s="177"/>
      <c r="E12" s="178"/>
      <c r="F12" s="179"/>
      <c r="G12" s="179"/>
      <c r="H12" s="179"/>
      <c r="I12" s="179"/>
      <c r="J12" s="179"/>
      <c r="K12" s="179"/>
    </row>
    <row r="13" spans="2:25" s="96" customFormat="1" ht="9.9499999999999993" customHeight="1" x14ac:dyDescent="0.2"/>
    <row r="14" spans="2:25" s="96" customFormat="1" ht="20.100000000000001" customHeight="1" x14ac:dyDescent="0.2">
      <c r="B14" s="466" t="s">
        <v>168</v>
      </c>
      <c r="C14" s="466"/>
      <c r="D14" s="466"/>
      <c r="E14" s="466"/>
      <c r="F14" s="466"/>
      <c r="G14" s="466" t="s">
        <v>169</v>
      </c>
      <c r="H14" s="466"/>
      <c r="I14" s="466"/>
      <c r="J14" s="466" t="s">
        <v>170</v>
      </c>
      <c r="K14" s="466"/>
    </row>
    <row r="15" spans="2:25" s="96" customFormat="1" ht="24.95" customHeight="1" x14ac:dyDescent="0.2">
      <c r="B15" s="479" t="str">
        <f>'Dados Contratação'!D20</f>
        <v>Prédio-Sede do TRT/24ª Região</v>
      </c>
      <c r="C15" s="479"/>
      <c r="D15" s="479"/>
      <c r="E15" s="479"/>
      <c r="F15" s="479"/>
      <c r="G15" s="478" t="str">
        <f>'Dados Contratação'!E20</f>
        <v>44 horas semanais</v>
      </c>
      <c r="H15" s="478"/>
      <c r="I15" s="478"/>
      <c r="J15" s="469">
        <f>'Dados Contratação'!J20</f>
        <v>1</v>
      </c>
      <c r="K15" s="469"/>
    </row>
    <row r="16" spans="2:25" s="96" customFormat="1" ht="9.9499999999999993" customHeight="1" x14ac:dyDescent="0.2">
      <c r="B16" s="174"/>
      <c r="C16" s="176"/>
      <c r="D16" s="177"/>
      <c r="E16" s="178"/>
      <c r="F16" s="179"/>
      <c r="G16" s="179"/>
      <c r="H16" s="179"/>
      <c r="I16" s="179"/>
      <c r="J16" s="179"/>
      <c r="K16" s="179"/>
    </row>
    <row r="17" spans="1:11" s="96" customFormat="1" ht="9.9499999999999993" customHeight="1" x14ac:dyDescent="0.2"/>
    <row r="18" spans="1:11" s="96" customFormat="1" ht="20.100000000000001" customHeight="1" x14ac:dyDescent="0.2">
      <c r="B18" s="471" t="s">
        <v>172</v>
      </c>
      <c r="C18" s="471"/>
      <c r="D18" s="471"/>
      <c r="E18" s="471"/>
      <c r="F18" s="466" t="s">
        <v>173</v>
      </c>
      <c r="G18" s="466"/>
      <c r="H18" s="466" t="s">
        <v>174</v>
      </c>
      <c r="I18" s="466"/>
      <c r="J18" s="466" t="s">
        <v>175</v>
      </c>
      <c r="K18" s="466"/>
    </row>
    <row r="19" spans="1:11" s="96" customFormat="1" ht="24.95" customHeight="1" thickBot="1" x14ac:dyDescent="0.25">
      <c r="B19" s="472" t="str">
        <f>'Dados Contratação'!C20</f>
        <v>Analista Supervisor</v>
      </c>
      <c r="C19" s="472"/>
      <c r="D19" s="472"/>
      <c r="E19" s="472"/>
      <c r="F19" s="485">
        <f>IF(ISBLANK(Encargos_Benefícios!$I$15),"dd/mm/aaaa",Encargos_Benefícios!$I$15)</f>
        <v>43983</v>
      </c>
      <c r="G19" s="485"/>
      <c r="H19" s="484">
        <f>Encargos_Benefícios!I11</f>
        <v>1100</v>
      </c>
      <c r="I19" s="484"/>
      <c r="J19" s="484">
        <f>Encargos_Benefícios!I13</f>
        <v>2907.72</v>
      </c>
      <c r="K19" s="484"/>
    </row>
    <row r="20" spans="1:11" s="96" customFormat="1" ht="9.9499999999999993" customHeight="1" x14ac:dyDescent="0.2">
      <c r="B20" s="174"/>
      <c r="C20" s="176"/>
      <c r="D20" s="177"/>
      <c r="E20" s="178"/>
      <c r="F20" s="179"/>
      <c r="G20" s="179"/>
      <c r="H20" s="179"/>
      <c r="I20" s="179"/>
      <c r="J20" s="179"/>
      <c r="K20" s="179"/>
    </row>
    <row r="21" spans="1:11" s="96" customFormat="1" ht="9.9499999999999993" customHeight="1" x14ac:dyDescent="0.2">
      <c r="I21" s="180">
        <f>ROUND(((($J$19+J29+J30)/220)*1.75),2)</f>
        <v>23.13</v>
      </c>
      <c r="J21" s="180">
        <f>ROUND(((($J$19+J29+J30)/220)*1.5),2)</f>
        <v>19.829999999999998</v>
      </c>
      <c r="K21" s="180">
        <f>ROUND(((($J$19+J29+J30)/220)*2),2)</f>
        <v>26.43</v>
      </c>
    </row>
    <row r="22" spans="1:11" s="96" customFormat="1" ht="14.1" customHeight="1" x14ac:dyDescent="0.2">
      <c r="B22" s="181"/>
      <c r="C22" s="182" t="s">
        <v>91</v>
      </c>
      <c r="D22" s="70"/>
      <c r="E22" s="70"/>
      <c r="F22" s="70"/>
      <c r="G22" s="70"/>
      <c r="H22" s="70"/>
      <c r="I22" s="183">
        <f>(ROUND(((($J$19+J29+J30)/220)*1.75),2)*1.25)</f>
        <v>28.912499999999998</v>
      </c>
      <c r="J22" s="180">
        <f>(ROUND(((($J$19+J29+J30)/220)*1.5),2)*1.25)</f>
        <v>24.787499999999998</v>
      </c>
      <c r="K22" s="180">
        <f>(ROUND(((($J$19+J29+J30)/220)*2),2)*1.25)</f>
        <v>33.037500000000001</v>
      </c>
    </row>
    <row r="23" spans="1:11" s="186" customFormat="1" ht="24.95" customHeight="1" x14ac:dyDescent="0.2">
      <c r="A23" s="96"/>
      <c r="B23" s="96"/>
      <c r="C23" s="96"/>
      <c r="D23" s="96"/>
      <c r="E23" s="96"/>
      <c r="F23" s="96"/>
      <c r="G23" s="96"/>
      <c r="H23" s="96"/>
      <c r="I23" s="96"/>
      <c r="J23" s="184" t="s">
        <v>176</v>
      </c>
      <c r="K23" s="185" t="s">
        <v>177</v>
      </c>
    </row>
    <row r="24" spans="1:11" s="186" customFormat="1" ht="12.95" customHeight="1" x14ac:dyDescent="0.2">
      <c r="A24" s="96"/>
      <c r="B24" s="96"/>
      <c r="C24" s="187"/>
      <c r="D24" s="100" t="s">
        <v>178</v>
      </c>
      <c r="E24" s="100"/>
      <c r="F24" s="100"/>
      <c r="G24" s="100"/>
      <c r="H24" s="100"/>
      <c r="I24" s="100"/>
      <c r="J24" s="188">
        <f>$J$19</f>
        <v>2907.72</v>
      </c>
      <c r="K24" s="189">
        <f t="shared" ref="K24:K30" si="0">IF($J24=0,0,(J24/J$105))</f>
        <v>0.58209116569575392</v>
      </c>
    </row>
    <row r="25" spans="1:11" s="186" customFormat="1" ht="12.95" customHeight="1" x14ac:dyDescent="0.2">
      <c r="A25" s="96"/>
      <c r="B25" s="96"/>
      <c r="C25" s="190"/>
      <c r="D25" s="100" t="s">
        <v>315</v>
      </c>
      <c r="E25" s="111"/>
      <c r="F25" s="111"/>
      <c r="G25" s="111"/>
      <c r="H25" s="111"/>
      <c r="I25" s="191">
        <v>0</v>
      </c>
      <c r="J25" s="192">
        <f>TRUNC(ROUND($I25*J$24,2),2)</f>
        <v>0</v>
      </c>
      <c r="K25" s="189">
        <f t="shared" si="0"/>
        <v>0</v>
      </c>
    </row>
    <row r="26" spans="1:11" s="186" customFormat="1" ht="12.95" customHeight="1" x14ac:dyDescent="0.2">
      <c r="A26" s="96"/>
      <c r="B26" s="96"/>
      <c r="C26" s="190"/>
      <c r="D26" s="111" t="s">
        <v>179</v>
      </c>
      <c r="E26" s="111"/>
      <c r="F26" s="111"/>
      <c r="G26" s="111"/>
      <c r="H26" s="111"/>
      <c r="I26" s="193">
        <v>0</v>
      </c>
      <c r="J26" s="192">
        <f>TRUNC(ROUND($I26*H19,2),2)</f>
        <v>0</v>
      </c>
      <c r="K26" s="189">
        <f t="shared" si="0"/>
        <v>0</v>
      </c>
    </row>
    <row r="27" spans="1:11" s="186" customFormat="1" ht="12.95" customHeight="1" x14ac:dyDescent="0.2">
      <c r="A27" s="96"/>
      <c r="B27" s="96"/>
      <c r="C27" s="190"/>
      <c r="D27" s="100" t="s">
        <v>180</v>
      </c>
      <c r="E27" s="100"/>
      <c r="F27" s="100"/>
      <c r="G27" s="100"/>
      <c r="H27" s="100"/>
      <c r="I27" s="193">
        <v>0</v>
      </c>
      <c r="J27" s="192">
        <f>TRUNC((ROUND($I27*J19,2))/2,2)</f>
        <v>0</v>
      </c>
      <c r="K27" s="189">
        <f t="shared" si="0"/>
        <v>0</v>
      </c>
    </row>
    <row r="28" spans="1:11" s="186" customFormat="1" ht="12.95" customHeight="1" x14ac:dyDescent="0.2">
      <c r="A28" s="96"/>
      <c r="B28" s="96"/>
      <c r="C28" s="187"/>
      <c r="D28" s="111" t="s">
        <v>181</v>
      </c>
      <c r="E28" s="111"/>
      <c r="F28" s="111"/>
      <c r="G28" s="111"/>
      <c r="H28" s="111"/>
      <c r="I28" s="193">
        <v>0</v>
      </c>
      <c r="J28" s="192">
        <f>TRUNC(ROUND(I28*J21,2),2)</f>
        <v>0</v>
      </c>
      <c r="K28" s="189">
        <f t="shared" si="0"/>
        <v>0</v>
      </c>
    </row>
    <row r="29" spans="1:11" s="186" customFormat="1" ht="12.95" customHeight="1" x14ac:dyDescent="0.2">
      <c r="A29" s="96"/>
      <c r="B29" s="96"/>
      <c r="C29" s="187"/>
      <c r="D29" s="111" t="s">
        <v>316</v>
      </c>
      <c r="E29" s="111"/>
      <c r="F29" s="111"/>
      <c r="G29" s="111"/>
      <c r="H29" s="111"/>
      <c r="I29" s="193">
        <v>0</v>
      </c>
      <c r="J29" s="192">
        <f>TRUNC(ROUND($I29*J$24,2),2)</f>
        <v>0</v>
      </c>
      <c r="K29" s="189">
        <f t="shared" si="0"/>
        <v>0</v>
      </c>
    </row>
    <row r="30" spans="1:11" s="186" customFormat="1" ht="12.95" customHeight="1" thickBot="1" x14ac:dyDescent="0.25">
      <c r="A30" s="96"/>
      <c r="B30" s="96"/>
      <c r="C30" s="187"/>
      <c r="D30" s="111" t="s">
        <v>182</v>
      </c>
      <c r="E30" s="111"/>
      <c r="F30" s="488"/>
      <c r="G30" s="488"/>
      <c r="H30" s="488"/>
      <c r="I30" s="489"/>
      <c r="J30" s="194">
        <v>0</v>
      </c>
      <c r="K30" s="189">
        <f t="shared" si="0"/>
        <v>0</v>
      </c>
    </row>
    <row r="31" spans="1:11" s="186" customFormat="1" ht="14.1" customHeight="1" thickBot="1" x14ac:dyDescent="0.25">
      <c r="A31" s="96"/>
      <c r="B31" s="195"/>
      <c r="C31" s="196"/>
      <c r="D31" s="197" t="s">
        <v>183</v>
      </c>
      <c r="E31" s="166"/>
      <c r="F31" s="166"/>
      <c r="G31" s="166"/>
      <c r="H31" s="166"/>
      <c r="I31" s="166"/>
      <c r="J31" s="198">
        <f>TRUNC(ROUND(SUM(J24:J30),2),2)</f>
        <v>2907.72</v>
      </c>
      <c r="K31" s="199">
        <f>IF($J31=0,0,(SUM(K24:K30)))</f>
        <v>0.58209116569575392</v>
      </c>
    </row>
    <row r="32" spans="1:11" s="96" customFormat="1" ht="12.95" customHeight="1" x14ac:dyDescent="0.2">
      <c r="J32" s="200"/>
      <c r="K32" s="200"/>
    </row>
    <row r="33" spans="1:11" s="96" customFormat="1" ht="14.1" customHeight="1" x14ac:dyDescent="0.2">
      <c r="B33" s="181"/>
      <c r="C33" s="182" t="s">
        <v>184</v>
      </c>
      <c r="D33" s="70"/>
      <c r="E33" s="70"/>
      <c r="F33" s="70"/>
      <c r="G33" s="70"/>
      <c r="H33" s="70"/>
      <c r="I33" s="70"/>
      <c r="J33" s="201"/>
      <c r="K33" s="71"/>
    </row>
    <row r="34" spans="1:11" s="203" customFormat="1" ht="24.95" customHeight="1" x14ac:dyDescent="0.2">
      <c r="A34" s="96"/>
      <c r="B34" s="96"/>
      <c r="C34" s="96"/>
      <c r="D34" s="96"/>
      <c r="E34" s="96"/>
      <c r="F34" s="96"/>
      <c r="G34" s="96"/>
      <c r="H34" s="96"/>
      <c r="I34" s="202"/>
      <c r="J34" s="184" t="s">
        <v>176</v>
      </c>
      <c r="K34" s="185" t="s">
        <v>177</v>
      </c>
    </row>
    <row r="35" spans="1:11" s="203" customFormat="1" ht="12.95" customHeight="1" x14ac:dyDescent="0.2">
      <c r="A35" s="96"/>
      <c r="B35" s="96"/>
      <c r="C35" s="110"/>
      <c r="D35" s="100" t="s">
        <v>185</v>
      </c>
      <c r="E35" s="100"/>
      <c r="F35" s="100"/>
      <c r="G35" s="100"/>
      <c r="H35" s="100"/>
      <c r="I35" s="79"/>
      <c r="J35" s="192">
        <f>Encargos_Benefícios!$I52</f>
        <v>0.22</v>
      </c>
      <c r="K35" s="189">
        <f t="shared" ref="K35:K40" si="1">IF($J35=0,0,(J35/J$105))</f>
        <v>4.4041398914980083E-5</v>
      </c>
    </row>
    <row r="36" spans="1:11" s="203" customFormat="1" ht="12.95" customHeight="1" x14ac:dyDescent="0.2">
      <c r="A36" s="96"/>
      <c r="B36" s="96"/>
      <c r="C36" s="110"/>
      <c r="D36" s="100" t="s">
        <v>186</v>
      </c>
      <c r="E36" s="100"/>
      <c r="F36" s="100"/>
      <c r="G36" s="100"/>
      <c r="H36" s="100"/>
      <c r="I36" s="79"/>
      <c r="J36" s="192">
        <f>Encargos_Benefícios!$I64</f>
        <v>400</v>
      </c>
      <c r="K36" s="189">
        <f t="shared" si="1"/>
        <v>8.0075270754509237E-2</v>
      </c>
    </row>
    <row r="37" spans="1:11" s="203" customFormat="1" ht="12.95" customHeight="1" x14ac:dyDescent="0.2">
      <c r="A37" s="96"/>
      <c r="B37" s="96"/>
      <c r="C37" s="110"/>
      <c r="D37" s="73" t="s">
        <v>109</v>
      </c>
      <c r="E37" s="100"/>
      <c r="F37" s="100"/>
      <c r="G37" s="100"/>
      <c r="H37" s="100"/>
      <c r="I37" s="79"/>
      <c r="J37" s="192">
        <f>Encargos_Benefícios!$I34</f>
        <v>0</v>
      </c>
      <c r="K37" s="189">
        <f t="shared" si="1"/>
        <v>0</v>
      </c>
    </row>
    <row r="38" spans="1:11" s="203" customFormat="1" ht="12.95" customHeight="1" x14ac:dyDescent="0.2">
      <c r="A38" s="96"/>
      <c r="B38" s="96"/>
      <c r="C38" s="110"/>
      <c r="D38" s="100" t="s">
        <v>113</v>
      </c>
      <c r="E38" s="100"/>
      <c r="F38" s="100"/>
      <c r="G38" s="100"/>
      <c r="H38" s="100"/>
      <c r="I38" s="79"/>
      <c r="J38" s="192">
        <f>Encargos_Benefícios!$I41</f>
        <v>0</v>
      </c>
      <c r="K38" s="189">
        <f t="shared" si="1"/>
        <v>0</v>
      </c>
    </row>
    <row r="39" spans="1:11" s="203" customFormat="1" ht="12.95" customHeight="1" x14ac:dyDescent="0.2">
      <c r="A39" s="96"/>
      <c r="B39" s="96"/>
      <c r="C39" s="110"/>
      <c r="D39" s="100" t="s">
        <v>187</v>
      </c>
      <c r="E39" s="100"/>
      <c r="F39" s="100"/>
      <c r="G39" s="100"/>
      <c r="H39" s="100"/>
      <c r="I39" s="79"/>
      <c r="J39" s="192">
        <f>Encargos_Benefícios!$I45</f>
        <v>1.36</v>
      </c>
      <c r="K39" s="189">
        <f t="shared" si="1"/>
        <v>2.7225592056533143E-4</v>
      </c>
    </row>
    <row r="40" spans="1:11" s="203" customFormat="1" ht="14.1" customHeight="1" x14ac:dyDescent="0.2">
      <c r="A40" s="96"/>
      <c r="B40" s="96"/>
      <c r="C40" s="110"/>
      <c r="D40" s="100" t="s">
        <v>188</v>
      </c>
      <c r="E40" s="100"/>
      <c r="F40" s="487" t="s">
        <v>360</v>
      </c>
      <c r="G40" s="487"/>
      <c r="H40" s="487"/>
      <c r="I40" s="79"/>
      <c r="J40" s="194">
        <v>0</v>
      </c>
      <c r="K40" s="189">
        <f t="shared" si="1"/>
        <v>0</v>
      </c>
    </row>
    <row r="41" spans="1:11" s="203" customFormat="1" ht="14.1" customHeight="1" x14ac:dyDescent="0.2">
      <c r="A41" s="96"/>
      <c r="B41" s="96"/>
      <c r="C41" s="196"/>
      <c r="D41" s="197" t="s">
        <v>189</v>
      </c>
      <c r="E41" s="166"/>
      <c r="F41" s="166"/>
      <c r="G41" s="166"/>
      <c r="H41" s="166"/>
      <c r="I41" s="166"/>
      <c r="J41" s="198">
        <f>TRUNC(ROUND(SUM(J35:J40),2),2)</f>
        <v>401.58</v>
      </c>
      <c r="K41" s="199">
        <f>IF($J41=0,0,(SUM(K35:K40)))</f>
        <v>8.0391568073989547E-2</v>
      </c>
    </row>
    <row r="42" spans="1:11" s="96" customFormat="1" ht="12.95" customHeight="1" x14ac:dyDescent="0.2">
      <c r="J42" s="200"/>
      <c r="K42" s="200"/>
    </row>
    <row r="43" spans="1:11" s="96" customFormat="1" ht="14.1" customHeight="1" x14ac:dyDescent="0.2">
      <c r="B43" s="181"/>
      <c r="C43" s="182" t="s">
        <v>190</v>
      </c>
      <c r="D43" s="70"/>
      <c r="E43" s="70"/>
      <c r="F43" s="70"/>
      <c r="G43" s="70"/>
      <c r="H43" s="70"/>
      <c r="I43" s="70"/>
      <c r="J43" s="204"/>
      <c r="K43" s="205"/>
    </row>
    <row r="44" spans="1:11" s="203" customFormat="1" ht="24.95" customHeight="1" x14ac:dyDescent="0.2">
      <c r="A44" s="96"/>
      <c r="B44" s="96"/>
      <c r="C44" s="96"/>
      <c r="D44" s="96"/>
      <c r="E44" s="96"/>
      <c r="F44" s="96"/>
      <c r="G44" s="96"/>
      <c r="H44" s="96"/>
      <c r="I44" s="202"/>
      <c r="J44" s="184" t="s">
        <v>176</v>
      </c>
      <c r="K44" s="185" t="s">
        <v>177</v>
      </c>
    </row>
    <row r="45" spans="1:11" s="203" customFormat="1" ht="12.95" customHeight="1" x14ac:dyDescent="0.2">
      <c r="A45" s="96"/>
      <c r="B45" s="96"/>
      <c r="C45" s="110"/>
      <c r="D45" s="100" t="s">
        <v>191</v>
      </c>
      <c r="E45" s="100"/>
      <c r="F45" s="100"/>
      <c r="G45" s="100"/>
      <c r="H45" s="100"/>
      <c r="I45" s="79"/>
      <c r="J45" s="192">
        <f>Uniformes!I25</f>
        <v>120.16</v>
      </c>
      <c r="K45" s="189">
        <f>IF($J45=0,0,(J45/J$105))</f>
        <v>2.4054611334654575E-2</v>
      </c>
    </row>
    <row r="46" spans="1:11" s="203" customFormat="1" ht="12.95" customHeight="1" x14ac:dyDescent="0.2">
      <c r="A46" s="96"/>
      <c r="B46" s="96"/>
      <c r="C46" s="110"/>
      <c r="D46" s="100" t="s">
        <v>297</v>
      </c>
      <c r="E46" s="100"/>
      <c r="F46" s="100"/>
      <c r="G46" s="100"/>
      <c r="H46" s="100"/>
      <c r="I46" s="79"/>
      <c r="J46" s="192">
        <v>0</v>
      </c>
      <c r="K46" s="189">
        <f>IF($J46=0,0,(J46/J$105))</f>
        <v>0</v>
      </c>
    </row>
    <row r="47" spans="1:11" s="203" customFormat="1" ht="12.95" customHeight="1" x14ac:dyDescent="0.2">
      <c r="A47" s="96"/>
      <c r="B47" s="96"/>
      <c r="C47" s="110"/>
      <c r="D47" s="100" t="s">
        <v>350</v>
      </c>
      <c r="E47" s="100"/>
      <c r="F47" s="100"/>
      <c r="G47" s="100"/>
      <c r="H47" s="100"/>
      <c r="I47" s="79"/>
      <c r="J47" s="192">
        <v>0</v>
      </c>
      <c r="K47" s="189">
        <f>IF($J47=0,0,(J47/J$105))</f>
        <v>0</v>
      </c>
    </row>
    <row r="48" spans="1:11" s="203" customFormat="1" ht="12.95" customHeight="1" x14ac:dyDescent="0.2">
      <c r="A48" s="96"/>
      <c r="B48" s="96"/>
      <c r="C48" s="110"/>
      <c r="D48" s="100" t="s">
        <v>351</v>
      </c>
      <c r="E48" s="100"/>
      <c r="F48" s="100"/>
      <c r="G48" s="100"/>
      <c r="H48" s="100"/>
      <c r="I48" s="79"/>
      <c r="J48" s="192">
        <v>0</v>
      </c>
      <c r="K48" s="189">
        <f>IF($J48=0,0,(J48/J$105))</f>
        <v>0</v>
      </c>
    </row>
    <row r="49" spans="1:11" s="203" customFormat="1" ht="14.1" customHeight="1" thickBot="1" x14ac:dyDescent="0.25">
      <c r="A49" s="96"/>
      <c r="B49" s="96"/>
      <c r="C49" s="110"/>
      <c r="D49" s="100" t="s">
        <v>188</v>
      </c>
      <c r="E49" s="100"/>
      <c r="F49" s="487"/>
      <c r="G49" s="487"/>
      <c r="H49" s="487"/>
      <c r="I49" s="79"/>
      <c r="J49" s="194">
        <v>0</v>
      </c>
      <c r="K49" s="189">
        <f>IF($J49=0,0,(J49/J$105))</f>
        <v>0</v>
      </c>
    </row>
    <row r="50" spans="1:11" s="203" customFormat="1" ht="14.1" customHeight="1" x14ac:dyDescent="0.2">
      <c r="A50" s="96"/>
      <c r="B50" s="96"/>
      <c r="C50" s="206"/>
      <c r="D50" s="197" t="s">
        <v>192</v>
      </c>
      <c r="E50" s="166"/>
      <c r="F50" s="166"/>
      <c r="G50" s="166"/>
      <c r="H50" s="166"/>
      <c r="I50" s="166"/>
      <c r="J50" s="198">
        <f>TRUNC(ROUND(SUM(J45:J49),2),2)</f>
        <v>120.16</v>
      </c>
      <c r="K50" s="199">
        <f>IF($J50=0,0,(SUM(K45:K45)))</f>
        <v>2.4054611334654575E-2</v>
      </c>
    </row>
    <row r="51" spans="1:11" s="203" customFormat="1" ht="12.95" customHeight="1" x14ac:dyDescent="0.2">
      <c r="A51" s="96"/>
      <c r="B51" s="96"/>
      <c r="C51" s="141"/>
      <c r="D51" s="207"/>
      <c r="E51" s="207"/>
      <c r="F51" s="207"/>
      <c r="G51" s="207"/>
      <c r="H51" s="207"/>
      <c r="I51" s="208"/>
      <c r="J51" s="209"/>
      <c r="K51" s="209"/>
    </row>
    <row r="52" spans="1:11" s="96" customFormat="1" ht="14.1" customHeight="1" x14ac:dyDescent="0.2">
      <c r="B52" s="181"/>
      <c r="C52" s="182" t="s">
        <v>193</v>
      </c>
      <c r="D52" s="70"/>
      <c r="E52" s="70"/>
      <c r="F52" s="70"/>
      <c r="G52" s="70"/>
      <c r="H52" s="70"/>
      <c r="I52" s="70"/>
      <c r="J52" s="201"/>
      <c r="K52" s="71"/>
    </row>
    <row r="53" spans="1:11" s="203" customFormat="1" ht="20.100000000000001" customHeight="1" x14ac:dyDescent="0.2">
      <c r="A53" s="96"/>
      <c r="B53" s="96"/>
      <c r="C53" s="210"/>
      <c r="D53" s="211" t="s">
        <v>194</v>
      </c>
      <c r="E53" s="212"/>
      <c r="F53" s="212"/>
      <c r="G53" s="212"/>
      <c r="H53" s="212"/>
      <c r="I53" s="212"/>
      <c r="J53" s="212"/>
      <c r="K53" s="212"/>
    </row>
    <row r="54" spans="1:11" s="203" customFormat="1" ht="24.95" customHeight="1" x14ac:dyDescent="0.2">
      <c r="A54" s="96"/>
      <c r="B54" s="96"/>
      <c r="C54" s="96"/>
      <c r="D54" s="96"/>
      <c r="E54" s="96"/>
      <c r="F54" s="96"/>
      <c r="G54" s="96"/>
      <c r="H54" s="96"/>
      <c r="I54" s="202"/>
      <c r="J54" s="184" t="s">
        <v>176</v>
      </c>
      <c r="K54" s="185" t="s">
        <v>177</v>
      </c>
    </row>
    <row r="55" spans="1:11" s="203" customFormat="1" ht="12.95" customHeight="1" x14ac:dyDescent="0.2">
      <c r="A55" s="96"/>
      <c r="B55" s="96"/>
      <c r="C55" s="110"/>
      <c r="D55" s="100"/>
      <c r="E55" s="100" t="s">
        <v>93</v>
      </c>
      <c r="F55" s="100"/>
      <c r="G55" s="100"/>
      <c r="H55" s="100"/>
      <c r="I55" s="79"/>
      <c r="J55" s="192">
        <f>TRUNC(ROUND(Encargos_Benefícios!$I19*($J$31+$J$69),2),2)</f>
        <v>0</v>
      </c>
      <c r="K55" s="189">
        <f t="shared" ref="K55:K62" si="2">IF($J55=0,0,(J55/J$105))</f>
        <v>0</v>
      </c>
    </row>
    <row r="56" spans="1:11" s="203" customFormat="1" ht="12.95" customHeight="1" x14ac:dyDescent="0.2">
      <c r="A56" s="96"/>
      <c r="B56" s="96"/>
      <c r="C56" s="110"/>
      <c r="D56" s="100"/>
      <c r="E56" s="100" t="s">
        <v>94</v>
      </c>
      <c r="F56" s="100"/>
      <c r="G56" s="100"/>
      <c r="H56" s="100"/>
      <c r="I56" s="79"/>
      <c r="J56" s="192">
        <f>TRUNC(ROUND(Encargos_Benefícios!$I20*($J$31+$J$69),2),2)</f>
        <v>48.46</v>
      </c>
      <c r="K56" s="189">
        <f t="shared" si="2"/>
        <v>9.7011190519087943E-3</v>
      </c>
    </row>
    <row r="57" spans="1:11" s="203" customFormat="1" ht="12.95" customHeight="1" x14ac:dyDescent="0.2">
      <c r="A57" s="96"/>
      <c r="B57" s="96"/>
      <c r="C57" s="110"/>
      <c r="D57" s="100"/>
      <c r="E57" s="100" t="s">
        <v>95</v>
      </c>
      <c r="F57" s="100"/>
      <c r="G57" s="100"/>
      <c r="H57" s="100"/>
      <c r="I57" s="79"/>
      <c r="J57" s="192">
        <f>TRUNC(ROUND(Encargos_Benefícios!$I21*($J$31+$J$69),2),2)</f>
        <v>32.31</v>
      </c>
      <c r="K57" s="189">
        <f t="shared" si="2"/>
        <v>6.468079995195484E-3</v>
      </c>
    </row>
    <row r="58" spans="1:11" s="203" customFormat="1" ht="12.95" customHeight="1" x14ac:dyDescent="0.2">
      <c r="A58" s="96"/>
      <c r="B58" s="96"/>
      <c r="C58" s="110"/>
      <c r="D58" s="100"/>
      <c r="E58" s="100" t="s">
        <v>96</v>
      </c>
      <c r="F58" s="100"/>
      <c r="G58" s="100"/>
      <c r="H58" s="100"/>
      <c r="I58" s="79"/>
      <c r="J58" s="192">
        <f>TRUNC(ROUND(Encargos_Benefícios!$I22*($J$31+$J$69),2),2)</f>
        <v>6.46</v>
      </c>
      <c r="K58" s="189">
        <f t="shared" si="2"/>
        <v>1.2932156226853242E-3</v>
      </c>
    </row>
    <row r="59" spans="1:11" s="203" customFormat="1" ht="12.95" customHeight="1" x14ac:dyDescent="0.2">
      <c r="A59" s="96"/>
      <c r="B59" s="96"/>
      <c r="C59" s="110"/>
      <c r="D59" s="100"/>
      <c r="E59" s="100" t="s">
        <v>97</v>
      </c>
      <c r="F59" s="100"/>
      <c r="G59" s="100"/>
      <c r="H59" s="100"/>
      <c r="I59" s="79"/>
      <c r="J59" s="192">
        <f>TRUNC(ROUND(Encargos_Benefícios!$I23*($J$31+$J$69),2),2)</f>
        <v>80.77</v>
      </c>
      <c r="K59" s="189">
        <f t="shared" si="2"/>
        <v>1.6169199047104277E-2</v>
      </c>
    </row>
    <row r="60" spans="1:11" s="203" customFormat="1" ht="12.95" customHeight="1" x14ac:dyDescent="0.2">
      <c r="A60" s="96"/>
      <c r="B60" s="96"/>
      <c r="C60" s="110"/>
      <c r="D60" s="100"/>
      <c r="E60" s="100" t="s">
        <v>98</v>
      </c>
      <c r="F60" s="100"/>
      <c r="G60" s="100"/>
      <c r="H60" s="100"/>
      <c r="I60" s="79"/>
      <c r="J60" s="192">
        <f>TRUNC(ROUND(Encargos_Benefícios!$I24*($J$31+$J$69),2),2)</f>
        <v>258.45999999999998</v>
      </c>
      <c r="K60" s="189">
        <f t="shared" si="2"/>
        <v>5.1740636198026137E-2</v>
      </c>
    </row>
    <row r="61" spans="1:11" s="203" customFormat="1" ht="12.95" customHeight="1" x14ac:dyDescent="0.2">
      <c r="A61" s="96"/>
      <c r="B61" s="96"/>
      <c r="C61" s="110"/>
      <c r="D61" s="100"/>
      <c r="E61" s="100" t="s">
        <v>99</v>
      </c>
      <c r="F61" s="100"/>
      <c r="G61" s="100"/>
      <c r="H61" s="100"/>
      <c r="I61" s="79"/>
      <c r="J61" s="192">
        <f>TRUNC(ROUND(Encargos_Benefícios!$I25*($J$31+$J$69),2),2)</f>
        <v>32.31</v>
      </c>
      <c r="K61" s="189">
        <f t="shared" si="2"/>
        <v>6.468079995195484E-3</v>
      </c>
    </row>
    <row r="62" spans="1:11" s="203" customFormat="1" ht="12.95" customHeight="1" x14ac:dyDescent="0.2">
      <c r="A62" s="96"/>
      <c r="B62" s="96"/>
      <c r="C62" s="110"/>
      <c r="D62" s="100"/>
      <c r="E62" s="100" t="s">
        <v>100</v>
      </c>
      <c r="F62" s="100"/>
      <c r="G62" s="100"/>
      <c r="H62" s="100"/>
      <c r="I62" s="79"/>
      <c r="J62" s="192">
        <f>TRUNC(ROUND(Encargos_Benefícios!$I26*($J$31+$J$69),2),2)</f>
        <v>19.38</v>
      </c>
      <c r="K62" s="189">
        <f t="shared" si="2"/>
        <v>3.8796468680559722E-3</v>
      </c>
    </row>
    <row r="63" spans="1:11" s="203" customFormat="1" ht="14.1" customHeight="1" x14ac:dyDescent="0.2">
      <c r="A63" s="96"/>
      <c r="B63" s="96"/>
      <c r="C63" s="196"/>
      <c r="D63" s="213" t="s">
        <v>195</v>
      </c>
      <c r="E63" s="214"/>
      <c r="F63" s="214"/>
      <c r="G63" s="214"/>
      <c r="H63" s="214"/>
      <c r="I63" s="214"/>
      <c r="J63" s="215">
        <f>TRUNC(ROUND(SUM(J55:J62),2),2)</f>
        <v>478.15</v>
      </c>
      <c r="K63" s="216">
        <f>IF($J63=0,0,(SUM(K55:K62)))</f>
        <v>9.571997677817147E-2</v>
      </c>
    </row>
    <row r="64" spans="1:11" s="203" customFormat="1" ht="12.95" customHeight="1" x14ac:dyDescent="0.2">
      <c r="A64" s="96"/>
      <c r="B64" s="217"/>
      <c r="C64" s="96"/>
      <c r="D64" s="100"/>
      <c r="E64" s="100"/>
      <c r="F64" s="100"/>
      <c r="G64" s="100"/>
      <c r="H64" s="100"/>
      <c r="I64" s="100"/>
      <c r="J64" s="100"/>
      <c r="K64" s="100"/>
    </row>
    <row r="65" spans="1:11" s="203" customFormat="1" ht="20.100000000000001" customHeight="1" x14ac:dyDescent="0.2">
      <c r="A65" s="96"/>
      <c r="B65" s="96"/>
      <c r="C65" s="210"/>
      <c r="D65" s="211" t="s">
        <v>196</v>
      </c>
      <c r="E65" s="212"/>
      <c r="F65" s="212"/>
      <c r="G65" s="212"/>
      <c r="H65" s="212"/>
      <c r="I65" s="212"/>
      <c r="J65" s="212"/>
      <c r="K65" s="212"/>
    </row>
    <row r="66" spans="1:11" s="203" customFormat="1" ht="24.95" customHeight="1" x14ac:dyDescent="0.2">
      <c r="A66" s="96"/>
      <c r="B66" s="96"/>
      <c r="C66" s="96"/>
      <c r="D66" s="96"/>
      <c r="E66" s="96"/>
      <c r="F66" s="96"/>
      <c r="G66" s="96"/>
      <c r="H66" s="96"/>
      <c r="I66" s="202"/>
      <c r="J66" s="184" t="s">
        <v>176</v>
      </c>
      <c r="K66" s="185" t="s">
        <v>177</v>
      </c>
    </row>
    <row r="67" spans="1:11" s="203" customFormat="1" ht="12.95" customHeight="1" x14ac:dyDescent="0.2">
      <c r="A67" s="96"/>
      <c r="B67" s="96"/>
      <c r="C67" s="110"/>
      <c r="D67" s="100"/>
      <c r="E67" s="100" t="s">
        <v>101</v>
      </c>
      <c r="F67" s="100"/>
      <c r="G67" s="100"/>
      <c r="H67" s="100"/>
      <c r="I67" s="79"/>
      <c r="J67" s="218">
        <f>TRUNC(ROUND(Encargos_Benefícios!$I28*$J$31,2),2)</f>
        <v>242.21</v>
      </c>
      <c r="K67" s="189">
        <f>IF($J67=0,0,(J67/J$105))</f>
        <v>4.8487578323624207E-2</v>
      </c>
    </row>
    <row r="68" spans="1:11" s="203" customFormat="1" ht="12.95" customHeight="1" thickBot="1" x14ac:dyDescent="0.25">
      <c r="A68" s="96"/>
      <c r="B68" s="96"/>
      <c r="C68" s="110"/>
      <c r="D68" s="100"/>
      <c r="E68" s="100" t="s">
        <v>102</v>
      </c>
      <c r="F68" s="100"/>
      <c r="G68" s="100"/>
      <c r="H68" s="100"/>
      <c r="I68" s="79"/>
      <c r="J68" s="218">
        <f>TRUNC(ROUND(Encargos_Benefícios!$I29*$J$31,2),2)</f>
        <v>80.83</v>
      </c>
      <c r="K68" s="189">
        <f>IF($J68=0,0,(J68/J$105))</f>
        <v>1.6181210337717453E-2</v>
      </c>
    </row>
    <row r="69" spans="1:11" s="203" customFormat="1" ht="14.1" customHeight="1" thickBot="1" x14ac:dyDescent="0.25">
      <c r="A69" s="96"/>
      <c r="B69" s="96"/>
      <c r="C69" s="196"/>
      <c r="D69" s="213" t="s">
        <v>239</v>
      </c>
      <c r="E69" s="214"/>
      <c r="F69" s="214"/>
      <c r="G69" s="214"/>
      <c r="H69" s="214"/>
      <c r="I69" s="214"/>
      <c r="J69" s="215">
        <f>TRUNC(ROUND(SUM(J67,J68),2),2)</f>
        <v>323.04000000000002</v>
      </c>
      <c r="K69" s="216">
        <f>IF($J69=0,0,(SUM(K67,K68)))</f>
        <v>6.4668788661341653E-2</v>
      </c>
    </row>
    <row r="70" spans="1:11" s="203" customFormat="1" ht="12.95" customHeight="1" x14ac:dyDescent="0.2">
      <c r="A70" s="96"/>
      <c r="B70" s="217"/>
      <c r="C70" s="96"/>
      <c r="D70" s="100"/>
      <c r="E70" s="100"/>
      <c r="F70" s="100"/>
      <c r="G70" s="100"/>
      <c r="H70" s="100"/>
      <c r="I70" s="100"/>
      <c r="J70" s="100"/>
      <c r="K70" s="100"/>
    </row>
    <row r="71" spans="1:11" s="203" customFormat="1" ht="20.100000000000001" customHeight="1" x14ac:dyDescent="0.2">
      <c r="A71" s="96"/>
      <c r="B71" s="96"/>
      <c r="C71" s="210"/>
      <c r="D71" s="211" t="s">
        <v>197</v>
      </c>
      <c r="E71" s="211"/>
      <c r="F71" s="211"/>
      <c r="G71" s="211"/>
      <c r="H71" s="211"/>
      <c r="I71" s="211"/>
      <c r="J71" s="211"/>
      <c r="K71" s="211"/>
    </row>
    <row r="72" spans="1:11" s="203" customFormat="1" ht="24.95" customHeight="1" x14ac:dyDescent="0.2">
      <c r="A72" s="96"/>
      <c r="B72" s="96"/>
      <c r="C72" s="96"/>
      <c r="D72" s="96"/>
      <c r="E72" s="96"/>
      <c r="F72" s="96"/>
      <c r="G72" s="96"/>
      <c r="H72" s="96"/>
      <c r="I72" s="202"/>
      <c r="J72" s="184" t="s">
        <v>176</v>
      </c>
      <c r="K72" s="185" t="s">
        <v>177</v>
      </c>
    </row>
    <row r="73" spans="1:11" s="203" customFormat="1" ht="12.95" customHeight="1" thickBot="1" x14ac:dyDescent="0.25">
      <c r="A73" s="96"/>
      <c r="B73" s="96"/>
      <c r="C73" s="110"/>
      <c r="D73" s="100"/>
      <c r="E73" s="100" t="s">
        <v>103</v>
      </c>
      <c r="F73" s="100"/>
      <c r="G73" s="100"/>
      <c r="H73" s="100"/>
      <c r="I73" s="79"/>
      <c r="J73" s="192">
        <f>TRUNC(ROUND('Base de Cálculo'!G4*SUM(J37+J63+J67+J68),2),2)</f>
        <v>1.04</v>
      </c>
      <c r="K73" s="189">
        <f>IF($J73=0,0,(J73/J$105))</f>
        <v>2.0819570396172403E-4</v>
      </c>
    </row>
    <row r="74" spans="1:11" s="203" customFormat="1" ht="14.1" customHeight="1" thickBot="1" x14ac:dyDescent="0.25">
      <c r="A74" s="96"/>
      <c r="B74" s="96"/>
      <c r="C74" s="196"/>
      <c r="D74" s="213" t="s">
        <v>198</v>
      </c>
      <c r="E74" s="214"/>
      <c r="F74" s="214"/>
      <c r="G74" s="214"/>
      <c r="H74" s="214"/>
      <c r="I74" s="214"/>
      <c r="J74" s="215">
        <f>TRUNC(ROUND(SUM(J73:J73),2),2)</f>
        <v>1.04</v>
      </c>
      <c r="K74" s="216">
        <f>IF($J74=0,0,(SUM(K73:K73)))</f>
        <v>2.0819570396172403E-4</v>
      </c>
    </row>
    <row r="75" spans="1:11" s="203" customFormat="1" ht="12.95" customHeight="1" x14ac:dyDescent="0.2">
      <c r="A75" s="96"/>
      <c r="B75" s="217"/>
      <c r="C75" s="137"/>
      <c r="D75" s="100"/>
      <c r="E75" s="100"/>
      <c r="F75" s="100"/>
      <c r="G75" s="100"/>
      <c r="H75" s="100"/>
      <c r="I75" s="100"/>
      <c r="J75" s="100"/>
      <c r="K75" s="100"/>
    </row>
    <row r="76" spans="1:11" s="203" customFormat="1" ht="20.100000000000001" customHeight="1" x14ac:dyDescent="0.2">
      <c r="A76" s="96"/>
      <c r="B76" s="96"/>
      <c r="C76" s="210"/>
      <c r="D76" s="211" t="s">
        <v>137</v>
      </c>
      <c r="E76" s="212"/>
      <c r="F76" s="212"/>
      <c r="G76" s="212"/>
      <c r="H76" s="212"/>
      <c r="I76" s="212"/>
      <c r="J76" s="212"/>
      <c r="K76" s="212"/>
    </row>
    <row r="77" spans="1:11" s="203" customFormat="1" ht="24.95" customHeight="1" x14ac:dyDescent="0.2">
      <c r="A77" s="96"/>
      <c r="B77" s="96"/>
      <c r="C77" s="96"/>
      <c r="D77" s="96"/>
      <c r="E77" s="96"/>
      <c r="F77" s="96"/>
      <c r="G77" s="96"/>
      <c r="H77" s="96"/>
      <c r="I77" s="202"/>
      <c r="J77" s="184" t="s">
        <v>176</v>
      </c>
      <c r="K77" s="185" t="s">
        <v>177</v>
      </c>
    </row>
    <row r="78" spans="1:11" s="203" customFormat="1" ht="12.95" customHeight="1" x14ac:dyDescent="0.2">
      <c r="A78" s="96"/>
      <c r="B78" s="96"/>
      <c r="C78" s="110"/>
      <c r="D78" s="100"/>
      <c r="E78" s="100" t="s">
        <v>138</v>
      </c>
      <c r="F78" s="100"/>
      <c r="G78" s="100"/>
      <c r="H78" s="100"/>
      <c r="I78" s="79"/>
      <c r="J78" s="192">
        <f>TRUNC(ROUND(SUM(J31,J67,J68,J60)*'Base de Cálculo'!F113/'Base de Cálculo'!F114/'Base de Cálculo'!F110*'Base de Cálculo'!F118,2),2)</f>
        <v>100.39</v>
      </c>
      <c r="K78" s="189">
        <f>IF($J78=0,0,(J78/J$105))</f>
        <v>2.0096891077612956E-2</v>
      </c>
    </row>
    <row r="79" spans="1:11" s="203" customFormat="1" ht="12.95" customHeight="1" x14ac:dyDescent="0.2">
      <c r="A79" s="96"/>
      <c r="B79" s="96"/>
      <c r="C79" s="110"/>
      <c r="D79" s="100"/>
      <c r="E79" s="73" t="s">
        <v>140</v>
      </c>
      <c r="F79" s="73"/>
      <c r="G79" s="73"/>
      <c r="H79" s="73"/>
      <c r="I79" s="73"/>
      <c r="J79" s="192">
        <f>TRUNC(ROUND(SUM(J31+J68+J67)*'Base de Cálculo'!G118,2),2)</f>
        <v>93.05</v>
      </c>
      <c r="K79" s="189">
        <f>IF($J79=0,0,(J79/J$105))</f>
        <v>1.8627509859267709E-2</v>
      </c>
    </row>
    <row r="80" spans="1:11" s="203" customFormat="1" ht="12.95" customHeight="1" x14ac:dyDescent="0.2">
      <c r="A80" s="96"/>
      <c r="B80" s="96"/>
      <c r="C80" s="110"/>
      <c r="D80" s="100"/>
      <c r="E80" s="100" t="s">
        <v>142</v>
      </c>
      <c r="F80" s="100"/>
      <c r="G80" s="100"/>
      <c r="H80" s="100"/>
      <c r="I80" s="79"/>
      <c r="J80" s="192">
        <f>TRUNC(ROUND(SUM(J31,J63,J41,J69)*'Base de Cálculo'!F125/'Base de Cálculo'!F126/'Base de Cálculo'!F122/30*7*'Base de Cálculo'!F130,2),2)</f>
        <v>2.99</v>
      </c>
      <c r="K80" s="189">
        <f>IF($J80=0,0,(J80/J$105))</f>
        <v>5.985626488899566E-4</v>
      </c>
    </row>
    <row r="81" spans="1:11" s="203" customFormat="1" ht="12.95" customHeight="1" thickBot="1" x14ac:dyDescent="0.25">
      <c r="A81" s="96"/>
      <c r="B81" s="96"/>
      <c r="C81" s="110"/>
      <c r="D81" s="100"/>
      <c r="E81" s="73" t="s">
        <v>143</v>
      </c>
      <c r="F81" s="100"/>
      <c r="G81" s="100"/>
      <c r="H81" s="100"/>
      <c r="I81" s="79"/>
      <c r="J81" s="192">
        <f>TRUNC(ROUND(SUM(J31,J67,J68)*'Base de Cálculo'!G130,2),2)</f>
        <v>10.34</v>
      </c>
      <c r="K81" s="189">
        <f>IF($J81=0,0,(J81/J$105))</f>
        <v>2.0699457490040638E-3</v>
      </c>
    </row>
    <row r="82" spans="1:11" s="203" customFormat="1" ht="14.1" customHeight="1" x14ac:dyDescent="0.2">
      <c r="A82" s="96"/>
      <c r="B82" s="96"/>
      <c r="C82" s="196"/>
      <c r="D82" s="213" t="s">
        <v>199</v>
      </c>
      <c r="E82" s="214"/>
      <c r="F82" s="214"/>
      <c r="G82" s="214"/>
      <c r="H82" s="214"/>
      <c r="I82" s="214"/>
      <c r="J82" s="215">
        <f>TRUNC(ROUND(SUM(J78:J81),2),2)</f>
        <v>206.77</v>
      </c>
      <c r="K82" s="216">
        <f>IF($J82=0,0,(SUM(K78:IV81)))</f>
        <v>4.1392909334774686E-2</v>
      </c>
    </row>
    <row r="83" spans="1:11" s="203" customFormat="1" ht="12.95" customHeight="1" x14ac:dyDescent="0.2">
      <c r="A83" s="96"/>
      <c r="B83" s="217"/>
      <c r="C83" s="137"/>
      <c r="D83" s="100"/>
      <c r="E83" s="100"/>
      <c r="F83" s="100"/>
      <c r="G83" s="100"/>
      <c r="H83" s="100"/>
      <c r="I83" s="100"/>
      <c r="J83" s="100"/>
      <c r="K83" s="100"/>
    </row>
    <row r="84" spans="1:11" s="203" customFormat="1" ht="20.100000000000001" customHeight="1" x14ac:dyDescent="0.2">
      <c r="A84" s="96"/>
      <c r="B84" s="96"/>
      <c r="C84" s="210"/>
      <c r="D84" s="211" t="s">
        <v>200</v>
      </c>
      <c r="E84" s="212"/>
      <c r="F84" s="212"/>
      <c r="G84" s="212"/>
      <c r="H84" s="212"/>
      <c r="I84" s="212"/>
      <c r="J84" s="212"/>
      <c r="K84" s="212"/>
    </row>
    <row r="85" spans="1:11" s="203" customFormat="1" ht="24.95" customHeight="1" x14ac:dyDescent="0.2">
      <c r="A85" s="96"/>
      <c r="B85" s="96"/>
      <c r="C85" s="96"/>
      <c r="D85" s="96"/>
      <c r="E85" s="96"/>
      <c r="F85" s="96"/>
      <c r="G85" s="96"/>
      <c r="H85" s="96"/>
      <c r="I85" s="202"/>
      <c r="J85" s="184" t="s">
        <v>176</v>
      </c>
      <c r="K85" s="185" t="s">
        <v>177</v>
      </c>
    </row>
    <row r="86" spans="1:11" s="203" customFormat="1" ht="12.95" customHeight="1" x14ac:dyDescent="0.2">
      <c r="A86" s="96"/>
      <c r="B86" s="96"/>
      <c r="C86" s="110"/>
      <c r="D86" s="100"/>
      <c r="E86" s="100" t="s">
        <v>134</v>
      </c>
      <c r="F86" s="100"/>
      <c r="G86" s="100"/>
      <c r="H86" s="100"/>
      <c r="I86" s="79"/>
      <c r="J86" s="192">
        <f>TRUNC(ROUND((SUM(J31,J41,J45,J63,J74,J82,J69)*'Base de Cálculo'!F103)/'Base de Cálculo'!G103,2),2)</f>
        <v>447.73</v>
      </c>
      <c r="K86" s="189">
        <f>IF($J86=0,0,(J86/J$105))</f>
        <v>8.9630252437291058E-2</v>
      </c>
    </row>
    <row r="87" spans="1:11" s="203" customFormat="1" ht="12.95" customHeight="1" thickBot="1" x14ac:dyDescent="0.25">
      <c r="A87" s="96"/>
      <c r="B87" s="96"/>
      <c r="C87" s="110"/>
      <c r="D87" s="100"/>
      <c r="E87" s="73" t="s">
        <v>136</v>
      </c>
      <c r="F87" s="73"/>
      <c r="G87" s="73"/>
      <c r="H87" s="73"/>
      <c r="I87" s="73"/>
      <c r="J87" s="192">
        <f>TRUNC(ROUND((SUM(J31,J41,J45,J63,J74,J82,J69)*'Base de Cálculo'!F104)/'Base de Cálculo'!G104,2),2)</f>
        <v>109.11</v>
      </c>
      <c r="K87" s="189">
        <f>IF($J87=0,0,(J87/J$105))</f>
        <v>2.1842531980061256E-2</v>
      </c>
    </row>
    <row r="88" spans="1:11" s="203" customFormat="1" ht="14.1" customHeight="1" thickBot="1" x14ac:dyDescent="0.25">
      <c r="A88" s="96"/>
      <c r="B88" s="96"/>
      <c r="C88" s="196"/>
      <c r="D88" s="213" t="s">
        <v>201</v>
      </c>
      <c r="E88" s="214"/>
      <c r="F88" s="214"/>
      <c r="G88" s="214"/>
      <c r="H88" s="214"/>
      <c r="I88" s="214"/>
      <c r="J88" s="215">
        <f>TRUNC(ROUND(SUM(J86:J87),2),2)</f>
        <v>556.84</v>
      </c>
      <c r="K88" s="216">
        <f>IF($J88=0,0,(SUM(K86:K87)))</f>
        <v>0.11147278441735231</v>
      </c>
    </row>
    <row r="89" spans="1:11" s="203" customFormat="1" ht="12.95" customHeight="1" x14ac:dyDescent="0.2">
      <c r="A89" s="96"/>
      <c r="B89" s="217"/>
      <c r="C89" s="137"/>
      <c r="D89" s="100"/>
      <c r="E89" s="100"/>
      <c r="F89" s="100"/>
      <c r="G89" s="100"/>
      <c r="H89" s="100"/>
      <c r="I89" s="100"/>
      <c r="J89" s="100"/>
      <c r="K89" s="100"/>
    </row>
    <row r="90" spans="1:11" s="203" customFormat="1" ht="20.100000000000001" customHeight="1" x14ac:dyDescent="0.2">
      <c r="A90" s="96"/>
      <c r="B90" s="96"/>
      <c r="C90" s="210"/>
      <c r="D90" s="211" t="s">
        <v>202</v>
      </c>
      <c r="E90" s="212"/>
      <c r="F90" s="212"/>
      <c r="G90" s="212"/>
      <c r="H90" s="212"/>
      <c r="I90" s="212"/>
      <c r="J90" s="212"/>
      <c r="K90" s="212"/>
    </row>
    <row r="91" spans="1:11" s="203" customFormat="1" ht="24.95" customHeight="1" x14ac:dyDescent="0.2">
      <c r="A91" s="96"/>
      <c r="B91" s="96"/>
      <c r="C91" s="96"/>
      <c r="D91" s="96"/>
      <c r="E91" s="96"/>
      <c r="F91" s="96"/>
      <c r="G91" s="96"/>
      <c r="H91" s="96"/>
      <c r="I91" s="202"/>
      <c r="J91" s="184" t="s">
        <v>176</v>
      </c>
      <c r="K91" s="185" t="s">
        <v>177</v>
      </c>
    </row>
    <row r="92" spans="1:11" s="203" customFormat="1" ht="12.95" customHeight="1" x14ac:dyDescent="0.2">
      <c r="A92" s="96"/>
      <c r="B92" s="96"/>
      <c r="C92" s="110"/>
      <c r="D92" s="100"/>
      <c r="E92" s="100" t="s">
        <v>203</v>
      </c>
      <c r="F92" s="100"/>
      <c r="G92" s="100"/>
      <c r="H92" s="100"/>
      <c r="I92" s="79"/>
      <c r="J92" s="218">
        <f>J63</f>
        <v>478.15</v>
      </c>
      <c r="K92" s="189">
        <f>IF($J92=0,0,(J92/J$105))</f>
        <v>9.571997677817147E-2</v>
      </c>
    </row>
    <row r="93" spans="1:11" s="203" customFormat="1" ht="12.95" customHeight="1" x14ac:dyDescent="0.2">
      <c r="A93" s="96"/>
      <c r="B93" s="96"/>
      <c r="C93" s="110"/>
      <c r="D93" s="100"/>
      <c r="E93" s="100" t="s">
        <v>204</v>
      </c>
      <c r="F93" s="100"/>
      <c r="G93" s="100"/>
      <c r="H93" s="100"/>
      <c r="I93" s="79"/>
      <c r="J93" s="192">
        <f>J69</f>
        <v>323.04000000000002</v>
      </c>
      <c r="K93" s="189">
        <f>IF($J93=0,0,(J93/J$105))</f>
        <v>6.4668788661341667E-2</v>
      </c>
    </row>
    <row r="94" spans="1:11" s="203" customFormat="1" ht="12.95" customHeight="1" x14ac:dyDescent="0.2">
      <c r="A94" s="96"/>
      <c r="B94" s="96"/>
      <c r="C94" s="110"/>
      <c r="D94" s="100"/>
      <c r="E94" s="100" t="s">
        <v>103</v>
      </c>
      <c r="F94" s="100"/>
      <c r="G94" s="100"/>
      <c r="H94" s="100"/>
      <c r="I94" s="79"/>
      <c r="J94" s="192">
        <f>J74</f>
        <v>1.04</v>
      </c>
      <c r="K94" s="189">
        <f>IF($J94=0,0,(J94/J$105))</f>
        <v>2.0819570396172403E-4</v>
      </c>
    </row>
    <row r="95" spans="1:11" s="203" customFormat="1" ht="12.95" customHeight="1" x14ac:dyDescent="0.2">
      <c r="A95" s="96"/>
      <c r="B95" s="96"/>
      <c r="C95" s="110"/>
      <c r="D95" s="100"/>
      <c r="E95" s="100" t="s">
        <v>144</v>
      </c>
      <c r="F95" s="100"/>
      <c r="G95" s="100"/>
      <c r="H95" s="100"/>
      <c r="I95" s="79"/>
      <c r="J95" s="192">
        <f>J82</f>
        <v>206.77</v>
      </c>
      <c r="K95" s="189">
        <f>IF($J95=0,0,(J95/J$105))</f>
        <v>4.1392909334774686E-2</v>
      </c>
    </row>
    <row r="96" spans="1:11" s="203" customFormat="1" ht="12.95" customHeight="1" thickBot="1" x14ac:dyDescent="0.25">
      <c r="A96" s="96"/>
      <c r="B96" s="96"/>
      <c r="C96" s="110"/>
      <c r="D96" s="100"/>
      <c r="E96" s="100" t="s">
        <v>205</v>
      </c>
      <c r="F96" s="100"/>
      <c r="G96" s="100"/>
      <c r="H96" s="100"/>
      <c r="I96" s="79"/>
      <c r="J96" s="192">
        <f>J88</f>
        <v>556.84</v>
      </c>
      <c r="K96" s="189">
        <f>IF($J96=0,0,(J96/J$105))</f>
        <v>0.11147278441735231</v>
      </c>
    </row>
    <row r="97" spans="1:11" s="203" customFormat="1" ht="14.1" customHeight="1" thickBot="1" x14ac:dyDescent="0.25">
      <c r="A97" s="96"/>
      <c r="B97" s="96"/>
      <c r="C97" s="196"/>
      <c r="D97" s="213" t="s">
        <v>206</v>
      </c>
      <c r="E97" s="214"/>
      <c r="F97" s="214"/>
      <c r="G97" s="214"/>
      <c r="H97" s="214"/>
      <c r="I97" s="214"/>
      <c r="J97" s="215">
        <f>TRUNC(ROUND(SUM(J92:J96),2),2)</f>
        <v>1565.84</v>
      </c>
      <c r="K97" s="216">
        <f>IF($J97=0,0,(SUM(K92:K96)))</f>
        <v>0.31346265489560188</v>
      </c>
    </row>
    <row r="98" spans="1:11" s="203" customFormat="1" ht="12.95" customHeight="1" x14ac:dyDescent="0.2">
      <c r="A98" s="96"/>
      <c r="B98" s="217"/>
      <c r="C98" s="137"/>
      <c r="D98" s="207"/>
      <c r="E98" s="207"/>
      <c r="F98" s="207"/>
      <c r="G98" s="207"/>
      <c r="H98" s="207"/>
      <c r="I98" s="208"/>
      <c r="J98" s="209"/>
      <c r="K98" s="209"/>
    </row>
    <row r="99" spans="1:11" s="96" customFormat="1" ht="14.1" customHeight="1" x14ac:dyDescent="0.2">
      <c r="B99" s="181"/>
      <c r="C99" s="182" t="s">
        <v>207</v>
      </c>
      <c r="D99" s="70"/>
      <c r="E99" s="70"/>
      <c r="F99" s="70"/>
      <c r="G99" s="70"/>
      <c r="H99" s="70"/>
      <c r="I99" s="70"/>
      <c r="J99" s="219"/>
      <c r="K99" s="219"/>
    </row>
    <row r="100" spans="1:11" s="96" customFormat="1" ht="24.95" customHeight="1" x14ac:dyDescent="0.2">
      <c r="C100" s="138"/>
      <c r="D100" s="71"/>
      <c r="E100" s="71"/>
      <c r="F100" s="71"/>
      <c r="G100" s="71"/>
      <c r="H100" s="71"/>
      <c r="I100" s="71"/>
      <c r="J100" s="184" t="s">
        <v>176</v>
      </c>
      <c r="K100" s="185" t="s">
        <v>177</v>
      </c>
    </row>
    <row r="101" spans="1:11" s="203" customFormat="1" ht="12.95" customHeight="1" x14ac:dyDescent="0.2">
      <c r="A101" s="96"/>
      <c r="B101" s="96"/>
      <c r="C101" s="110"/>
      <c r="D101" s="100" t="s">
        <v>183</v>
      </c>
      <c r="E101" s="100"/>
      <c r="F101" s="100"/>
      <c r="G101" s="100"/>
      <c r="H101" s="100"/>
      <c r="I101" s="79"/>
      <c r="J101" s="192">
        <f>J31</f>
        <v>2907.72</v>
      </c>
      <c r="K101" s="189">
        <f>IF($J101=0,0,(J101/J$105))</f>
        <v>0.58209116569575392</v>
      </c>
    </row>
    <row r="102" spans="1:11" s="203" customFormat="1" ht="12.95" customHeight="1" x14ac:dyDescent="0.2">
      <c r="A102" s="96"/>
      <c r="B102" s="96"/>
      <c r="C102" s="110"/>
      <c r="D102" s="100" t="s">
        <v>189</v>
      </c>
      <c r="E102" s="100"/>
      <c r="F102" s="100"/>
      <c r="G102" s="100"/>
      <c r="H102" s="100"/>
      <c r="I102" s="79"/>
      <c r="J102" s="192">
        <f>J41</f>
        <v>401.58</v>
      </c>
      <c r="K102" s="189">
        <f>IF($J102=0,0,(J102/J$105))</f>
        <v>8.0391568073989547E-2</v>
      </c>
    </row>
    <row r="103" spans="1:11" s="203" customFormat="1" ht="12.95" customHeight="1" x14ac:dyDescent="0.2">
      <c r="A103" s="96"/>
      <c r="B103" s="96"/>
      <c r="C103" s="110"/>
      <c r="D103" s="100" t="s">
        <v>192</v>
      </c>
      <c r="E103" s="100"/>
      <c r="F103" s="100"/>
      <c r="G103" s="100"/>
      <c r="H103" s="100"/>
      <c r="I103" s="79"/>
      <c r="J103" s="192">
        <f>J50</f>
        <v>120.16</v>
      </c>
      <c r="K103" s="189">
        <f>IF($J103=0,0,(J103/J$105))</f>
        <v>2.4054611334654575E-2</v>
      </c>
    </row>
    <row r="104" spans="1:11" s="203" customFormat="1" ht="12.95" customHeight="1" x14ac:dyDescent="0.2">
      <c r="A104" s="96"/>
      <c r="B104" s="96"/>
      <c r="C104" s="110"/>
      <c r="D104" s="100" t="s">
        <v>206</v>
      </c>
      <c r="E104" s="100"/>
      <c r="F104" s="100"/>
      <c r="G104" s="100"/>
      <c r="H104" s="100"/>
      <c r="I104" s="79"/>
      <c r="J104" s="192">
        <f>J97</f>
        <v>1565.84</v>
      </c>
      <c r="K104" s="189">
        <f>IF($J104=0,0,(J104/J$105))</f>
        <v>0.31346265489560182</v>
      </c>
    </row>
    <row r="105" spans="1:11" s="203" customFormat="1" ht="14.1" customHeight="1" x14ac:dyDescent="0.2">
      <c r="A105" s="96"/>
      <c r="B105" s="96"/>
      <c r="C105" s="196"/>
      <c r="D105" s="197" t="s">
        <v>208</v>
      </c>
      <c r="E105" s="166"/>
      <c r="F105" s="166"/>
      <c r="G105" s="166"/>
      <c r="H105" s="166"/>
      <c r="I105" s="166"/>
      <c r="J105" s="198">
        <f>TRUNC(ROUND(SUM(J101:J104),2),2)</f>
        <v>4995.3</v>
      </c>
      <c r="K105" s="199">
        <f>SUM(K101:K104)</f>
        <v>0.99999999999999978</v>
      </c>
    </row>
    <row r="106" spans="1:11" s="203" customFormat="1" ht="12.95" customHeight="1" x14ac:dyDescent="0.2">
      <c r="A106" s="96"/>
      <c r="B106" s="217"/>
      <c r="C106" s="137"/>
      <c r="D106" s="207"/>
      <c r="E106" s="207"/>
      <c r="F106" s="207"/>
      <c r="G106" s="207"/>
      <c r="H106" s="207"/>
      <c r="I106" s="208"/>
      <c r="J106" s="209"/>
      <c r="K106" s="209"/>
    </row>
    <row r="107" spans="1:11" s="96" customFormat="1" ht="14.1" customHeight="1" x14ac:dyDescent="0.2">
      <c r="B107" s="181"/>
      <c r="C107" s="182" t="s">
        <v>209</v>
      </c>
      <c r="D107" s="70"/>
      <c r="E107" s="70"/>
      <c r="F107" s="70"/>
      <c r="G107" s="70"/>
      <c r="H107" s="70"/>
      <c r="I107" s="70"/>
      <c r="J107" s="204"/>
      <c r="K107" s="205"/>
    </row>
    <row r="108" spans="1:11" s="96" customFormat="1" ht="24.95" customHeight="1" x14ac:dyDescent="0.2">
      <c r="C108" s="138"/>
      <c r="D108" s="71"/>
      <c r="E108" s="71"/>
      <c r="F108" s="71"/>
      <c r="G108" s="71"/>
      <c r="H108" s="71"/>
      <c r="I108" s="71"/>
      <c r="J108" s="184" t="s">
        <v>176</v>
      </c>
      <c r="K108" s="185" t="s">
        <v>177</v>
      </c>
    </row>
    <row r="109" spans="1:11" s="203" customFormat="1" ht="12.95" customHeight="1" x14ac:dyDescent="0.2">
      <c r="A109" s="96"/>
      <c r="B109" s="96"/>
      <c r="C109" s="110"/>
      <c r="D109" s="220" t="s">
        <v>208</v>
      </c>
      <c r="E109" s="220"/>
      <c r="F109" s="220"/>
      <c r="G109" s="220"/>
      <c r="H109" s="220"/>
      <c r="I109" s="221"/>
      <c r="J109" s="222">
        <f>J105</f>
        <v>4995.3</v>
      </c>
      <c r="K109" s="223">
        <f>IF($J109=0,0,(J109/J$124))</f>
        <v>0.78959000058239848</v>
      </c>
    </row>
    <row r="110" spans="1:11" s="203" customFormat="1" ht="12.95" customHeight="1" x14ac:dyDescent="0.2">
      <c r="A110" s="96"/>
      <c r="B110" s="96"/>
      <c r="C110" s="110"/>
      <c r="D110" s="100" t="s">
        <v>210</v>
      </c>
      <c r="E110" s="100"/>
      <c r="F110" s="100"/>
      <c r="G110" s="100"/>
      <c r="H110" s="100"/>
      <c r="I110" s="224">
        <v>0.03</v>
      </c>
      <c r="J110" s="192">
        <f>TRUNC(ROUND($I110*$J$109,2),2)</f>
        <v>149.86000000000001</v>
      </c>
      <c r="K110" s="225">
        <f>IF($J110=0,0,(J110/J$124))</f>
        <v>2.3687858084054662E-2</v>
      </c>
    </row>
    <row r="111" spans="1:11" s="203" customFormat="1" ht="12.95" customHeight="1" x14ac:dyDescent="0.2">
      <c r="A111" s="96"/>
      <c r="B111" s="96"/>
      <c r="C111" s="110"/>
      <c r="D111" s="100" t="s">
        <v>211</v>
      </c>
      <c r="E111" s="100"/>
      <c r="F111" s="100"/>
      <c r="G111" s="100"/>
      <c r="H111" s="100"/>
      <c r="I111" s="224">
        <v>6.7900000000000002E-2</v>
      </c>
      <c r="J111" s="192">
        <f>TRUNC(ROUND($I111*($J$109+$J$110),2),2)</f>
        <v>349.36</v>
      </c>
      <c r="K111" s="225">
        <f>IF($J111=0,0,(J111/J$124))</f>
        <v>5.5222141333546887E-2</v>
      </c>
    </row>
    <row r="112" spans="1:11" s="203" customFormat="1" ht="12.95" customHeight="1" x14ac:dyDescent="0.2">
      <c r="A112" s="96"/>
      <c r="B112" s="96"/>
      <c r="C112" s="121"/>
      <c r="D112" s="100" t="s">
        <v>212</v>
      </c>
      <c r="E112" s="100"/>
      <c r="F112" s="100"/>
      <c r="G112" s="100"/>
      <c r="H112" s="100"/>
      <c r="I112" s="79"/>
      <c r="J112" s="90"/>
      <c r="K112" s="226"/>
    </row>
    <row r="113" spans="1:11" s="203" customFormat="1" ht="12.95" customHeight="1" x14ac:dyDescent="0.2">
      <c r="A113" s="96"/>
      <c r="B113" s="96"/>
      <c r="C113" s="121"/>
      <c r="D113" s="100"/>
      <c r="E113" s="100" t="s">
        <v>307</v>
      </c>
      <c r="F113" s="100"/>
      <c r="G113" s="100"/>
      <c r="H113" s="100"/>
      <c r="I113" s="227">
        <f>SUM(I114:I117)</f>
        <v>8.1499999999999989E-2</v>
      </c>
      <c r="J113" s="228">
        <f>SUM(J114:J117)</f>
        <v>515.60550374208401</v>
      </c>
      <c r="K113" s="225">
        <f>IF($J113=0,0,(J113/J$124))</f>
        <v>8.1500000000000003E-2</v>
      </c>
    </row>
    <row r="114" spans="1:11" s="203" customFormat="1" ht="12.95" customHeight="1" x14ac:dyDescent="0.2">
      <c r="A114" s="96"/>
      <c r="B114" s="96"/>
      <c r="C114" s="96"/>
      <c r="D114" s="229"/>
      <c r="E114" s="229"/>
      <c r="F114" s="230"/>
      <c r="G114" s="230"/>
      <c r="H114" s="231" t="s">
        <v>10</v>
      </c>
      <c r="I114" s="308">
        <f>'Dados Proponente'!I25</f>
        <v>0.03</v>
      </c>
      <c r="J114" s="192">
        <f>$I114*J$124</f>
        <v>189.79343696027632</v>
      </c>
      <c r="K114" s="225">
        <f>IF($J114=0,0,(J114/J$124))</f>
        <v>0.03</v>
      </c>
    </row>
    <row r="115" spans="1:11" s="203" customFormat="1" ht="12.95" customHeight="1" thickBot="1" x14ac:dyDescent="0.25">
      <c r="A115" s="96"/>
      <c r="B115" s="96"/>
      <c r="C115" s="96"/>
      <c r="D115" s="232"/>
      <c r="E115" s="232"/>
      <c r="F115" s="233"/>
      <c r="G115" s="233"/>
      <c r="H115" s="230" t="s">
        <v>8</v>
      </c>
      <c r="I115" s="308">
        <f>'Dados Proponente'!I24</f>
        <v>6.4999999999999997E-3</v>
      </c>
      <c r="J115" s="192">
        <f>$I115*J$124</f>
        <v>41.121911341393201</v>
      </c>
      <c r="K115" s="225">
        <f>IF($J115=0,0,(J115/J$124))</f>
        <v>6.4999999999999997E-3</v>
      </c>
    </row>
    <row r="116" spans="1:11" s="203" customFormat="1" ht="12.95" customHeight="1" thickBot="1" x14ac:dyDescent="0.25">
      <c r="A116" s="96"/>
      <c r="B116" s="96"/>
      <c r="C116" s="96"/>
      <c r="D116" s="232"/>
      <c r="E116" s="232"/>
      <c r="F116" s="234"/>
      <c r="G116" s="234"/>
      <c r="H116" s="231" t="s">
        <v>213</v>
      </c>
      <c r="I116" s="224">
        <v>0</v>
      </c>
      <c r="J116" s="192">
        <f>$I116*J$124</f>
        <v>0</v>
      </c>
      <c r="K116" s="225">
        <f>IF($J116=0,0,(J116/J$124))</f>
        <v>0</v>
      </c>
    </row>
    <row r="117" spans="1:11" s="203" customFormat="1" ht="12.95" customHeight="1" x14ac:dyDescent="0.2">
      <c r="A117" s="96"/>
      <c r="B117" s="96"/>
      <c r="C117" s="96"/>
      <c r="D117" s="232"/>
      <c r="E117" s="232"/>
      <c r="F117" s="234"/>
      <c r="G117" s="234"/>
      <c r="H117" s="231" t="s">
        <v>93</v>
      </c>
      <c r="I117" s="308">
        <f>IF(Apoio!$E$12=1,4.5%,0%)</f>
        <v>4.4999999999999998E-2</v>
      </c>
      <c r="J117" s="192">
        <f>$I117*J$124</f>
        <v>284.69015544041446</v>
      </c>
      <c r="K117" s="225">
        <f>IF($J117=0,0,(J117/J$124))</f>
        <v>4.4999999999999991E-2</v>
      </c>
    </row>
    <row r="118" spans="1:11" s="203" customFormat="1" ht="12.95" customHeight="1" thickBot="1" x14ac:dyDescent="0.25">
      <c r="A118" s="96"/>
      <c r="B118" s="96"/>
      <c r="C118" s="96"/>
      <c r="D118" s="96"/>
      <c r="E118" s="235" t="s">
        <v>214</v>
      </c>
      <c r="F118" s="236" t="s">
        <v>215</v>
      </c>
      <c r="G118" s="236"/>
      <c r="H118" s="96"/>
      <c r="I118" s="96"/>
      <c r="J118" s="90"/>
      <c r="K118" s="226"/>
    </row>
    <row r="119" spans="1:11" s="203" customFormat="1" ht="12.95" customHeight="1" x14ac:dyDescent="0.2">
      <c r="A119" s="96"/>
      <c r="B119" s="96"/>
      <c r="C119" s="121"/>
      <c r="D119" s="100"/>
      <c r="E119" s="100" t="s">
        <v>216</v>
      </c>
      <c r="F119" s="100"/>
      <c r="G119" s="490"/>
      <c r="H119" s="490"/>
      <c r="I119" s="224">
        <v>0</v>
      </c>
      <c r="J119" s="192">
        <f>$I119*J$124</f>
        <v>0</v>
      </c>
      <c r="K119" s="225">
        <f>IF($J119=0,0,(J119/J$124))</f>
        <v>0</v>
      </c>
    </row>
    <row r="120" spans="1:11" s="314" customFormat="1" ht="12.95" customHeight="1" thickBot="1" x14ac:dyDescent="0.25">
      <c r="A120" s="96"/>
      <c r="B120" s="96"/>
      <c r="C120" s="121"/>
      <c r="D120" s="100"/>
      <c r="E120" s="100" t="s">
        <v>308</v>
      </c>
      <c r="F120" s="100"/>
      <c r="G120" s="100"/>
      <c r="H120" s="100"/>
      <c r="I120" s="237"/>
      <c r="J120" s="312"/>
      <c r="K120" s="313"/>
    </row>
    <row r="121" spans="1:11" s="203" customFormat="1" ht="12.95" customHeight="1" x14ac:dyDescent="0.2">
      <c r="A121" s="96"/>
      <c r="B121" s="96"/>
      <c r="C121" s="126"/>
      <c r="D121" s="238"/>
      <c r="E121" s="239"/>
      <c r="F121" s="230"/>
      <c r="G121" s="230"/>
      <c r="H121" s="231" t="s">
        <v>217</v>
      </c>
      <c r="I121" s="308">
        <f>'Dados Proponente'!I28</f>
        <v>0.05</v>
      </c>
      <c r="J121" s="192">
        <f>I121*J$124</f>
        <v>316.32239493379393</v>
      </c>
      <c r="K121" s="225">
        <f>IF($J121=0,0,(J121/J$124))</f>
        <v>5.000000000000001E-2</v>
      </c>
    </row>
    <row r="122" spans="1:11" s="203" customFormat="1" ht="12.95" customHeight="1" thickBot="1" x14ac:dyDescent="0.25">
      <c r="A122" s="96"/>
      <c r="B122" s="96"/>
      <c r="C122" s="126"/>
      <c r="D122" s="238"/>
      <c r="E122" s="239"/>
      <c r="F122" s="234"/>
      <c r="G122" s="234"/>
      <c r="H122" s="234"/>
      <c r="I122" s="240"/>
      <c r="J122" s="90"/>
      <c r="K122" s="226"/>
    </row>
    <row r="123" spans="1:11" s="203" customFormat="1" ht="12.95" customHeight="1" thickBot="1" x14ac:dyDescent="0.25">
      <c r="A123" s="96"/>
      <c r="B123" s="96"/>
      <c r="C123" s="110"/>
      <c r="D123" s="100"/>
      <c r="E123" s="100" t="s">
        <v>218</v>
      </c>
      <c r="F123" s="100"/>
      <c r="G123" s="486"/>
      <c r="H123" s="486"/>
      <c r="I123" s="224">
        <v>0</v>
      </c>
      <c r="J123" s="192">
        <f>$I123*J$124</f>
        <v>0</v>
      </c>
      <c r="K123" s="225">
        <f>IF($J123=0,0,(J123/J$124))</f>
        <v>0</v>
      </c>
    </row>
    <row r="124" spans="1:11" s="203" customFormat="1" ht="14.1" customHeight="1" thickBot="1" x14ac:dyDescent="0.25">
      <c r="A124" s="96"/>
      <c r="B124" s="96"/>
      <c r="C124" s="196"/>
      <c r="D124" s="197" t="s">
        <v>219</v>
      </c>
      <c r="E124" s="166"/>
      <c r="F124" s="166"/>
      <c r="G124" s="166"/>
      <c r="H124" s="166"/>
      <c r="I124" s="166"/>
      <c r="J124" s="241">
        <f>SUM(J109:J111)/(1-I113-I121)</f>
        <v>6326.4478986758777</v>
      </c>
      <c r="K124" s="199">
        <f>SUM(K109:K113)+K119+K121+K123</f>
        <v>1</v>
      </c>
    </row>
    <row r="125" spans="1:11" s="203" customFormat="1" ht="12.95" customHeight="1" x14ac:dyDescent="0.2">
      <c r="A125" s="96"/>
      <c r="B125" s="217"/>
      <c r="C125" s="137"/>
      <c r="D125" s="207"/>
      <c r="E125" s="207"/>
      <c r="F125" s="207"/>
      <c r="G125" s="207"/>
      <c r="H125" s="207"/>
      <c r="I125" s="208"/>
      <c r="J125" s="209"/>
      <c r="K125" s="209"/>
    </row>
    <row r="126" spans="1:11" s="96" customFormat="1" ht="14.1" customHeight="1" x14ac:dyDescent="0.2">
      <c r="B126" s="181"/>
      <c r="C126" s="182" t="s">
        <v>220</v>
      </c>
      <c r="D126" s="70"/>
      <c r="E126" s="70"/>
      <c r="F126" s="70"/>
      <c r="G126" s="70"/>
      <c r="H126" s="70"/>
      <c r="I126" s="70"/>
      <c r="J126" s="204"/>
      <c r="K126" s="205"/>
    </row>
    <row r="127" spans="1:11" s="96" customFormat="1" ht="24.95" customHeight="1" x14ac:dyDescent="0.2">
      <c r="C127" s="138"/>
      <c r="D127" s="71"/>
      <c r="E127" s="71"/>
      <c r="F127" s="71"/>
      <c r="G127" s="71"/>
      <c r="H127" s="71"/>
      <c r="I127" s="71"/>
      <c r="J127" s="184" t="s">
        <v>221</v>
      </c>
      <c r="K127" s="185" t="s">
        <v>222</v>
      </c>
    </row>
    <row r="128" spans="1:11" s="203" customFormat="1" ht="12.95" customHeight="1" x14ac:dyDescent="0.2">
      <c r="A128" s="96"/>
      <c r="B128" s="96"/>
      <c r="C128" s="110"/>
      <c r="D128" s="100" t="s">
        <v>223</v>
      </c>
      <c r="E128" s="100"/>
      <c r="F128" s="100"/>
      <c r="G128" s="100"/>
      <c r="H128" s="100"/>
      <c r="I128" s="79"/>
      <c r="J128" s="188">
        <f>TRUNC(ROUND(J31,2),2)</f>
        <v>2907.72</v>
      </c>
      <c r="K128" s="188">
        <f>IF($J128=0,0,($J128*$J$15))</f>
        <v>2907.72</v>
      </c>
    </row>
    <row r="129" spans="1:11" s="203" customFormat="1" ht="12.95" customHeight="1" x14ac:dyDescent="0.2">
      <c r="A129" s="96"/>
      <c r="B129" s="96"/>
      <c r="C129" s="110"/>
      <c r="D129" s="100" t="s">
        <v>224</v>
      </c>
      <c r="E129" s="100"/>
      <c r="F129" s="100"/>
      <c r="G129" s="100"/>
      <c r="H129" s="100"/>
      <c r="I129" s="79"/>
      <c r="J129" s="188">
        <f>TRUNC(ROUND(J41,2),2)</f>
        <v>401.58</v>
      </c>
      <c r="K129" s="188">
        <f>IF($J129=0,0,($J129*$J$15))</f>
        <v>401.58</v>
      </c>
    </row>
    <row r="130" spans="1:11" s="203" customFormat="1" ht="12.95" customHeight="1" x14ac:dyDescent="0.2">
      <c r="A130" s="96"/>
      <c r="B130" s="96"/>
      <c r="C130" s="110"/>
      <c r="D130" s="100" t="s">
        <v>225</v>
      </c>
      <c r="E130" s="100"/>
      <c r="F130" s="100"/>
      <c r="G130" s="100"/>
      <c r="H130" s="100"/>
      <c r="I130" s="79"/>
      <c r="J130" s="188">
        <f>TRUNC(ROUND(J50,2),2)</f>
        <v>120.16</v>
      </c>
      <c r="K130" s="188">
        <f>IF($J130=0,0,($J130*$J$15))</f>
        <v>120.16</v>
      </c>
    </row>
    <row r="131" spans="1:11" s="203" customFormat="1" ht="12.95" customHeight="1" x14ac:dyDescent="0.2">
      <c r="A131" s="96"/>
      <c r="B131" s="96"/>
      <c r="C131" s="110"/>
      <c r="D131" s="100" t="s">
        <v>226</v>
      </c>
      <c r="E131" s="100"/>
      <c r="F131" s="100"/>
      <c r="G131" s="100"/>
      <c r="H131" s="100"/>
      <c r="I131" s="79"/>
      <c r="J131" s="188">
        <f>TRUNC(ROUND(J97,2),2)</f>
        <v>1565.84</v>
      </c>
      <c r="K131" s="188">
        <f>IF($J131=0,0,($J131*$J$15))</f>
        <v>1565.84</v>
      </c>
    </row>
    <row r="132" spans="1:11" s="203" customFormat="1" ht="12.95" customHeight="1" x14ac:dyDescent="0.2">
      <c r="A132" s="96"/>
      <c r="B132" s="96"/>
      <c r="C132" s="110"/>
      <c r="D132" s="100" t="s">
        <v>227</v>
      </c>
      <c r="E132" s="100"/>
      <c r="F132" s="100"/>
      <c r="G132" s="100"/>
      <c r="H132" s="100"/>
      <c r="I132" s="79"/>
      <c r="J132" s="188">
        <f>TRUNC(ROUND(SUM(J110,J111,J113,J119,J121,J123),2),2)</f>
        <v>1331.15</v>
      </c>
      <c r="K132" s="188">
        <f>IF($J132=0,0,($J132*$J$15))</f>
        <v>1331.15</v>
      </c>
    </row>
    <row r="133" spans="1:11" s="203" customFormat="1" ht="14.1" customHeight="1" thickBot="1" x14ac:dyDescent="0.25">
      <c r="A133" s="96"/>
      <c r="B133" s="96"/>
      <c r="C133" s="196"/>
      <c r="D133" s="197" t="s">
        <v>228</v>
      </c>
      <c r="E133" s="166"/>
      <c r="F133" s="166"/>
      <c r="G133" s="166"/>
      <c r="H133" s="166"/>
      <c r="I133" s="166"/>
      <c r="J133" s="241">
        <f>SUM(J128:J132)</f>
        <v>6326.4499999999989</v>
      </c>
      <c r="K133" s="241">
        <f>SUM(K128:K132)</f>
        <v>6326.4499999999989</v>
      </c>
    </row>
    <row r="134" spans="1:11" s="96" customFormat="1" ht="15" customHeight="1" thickTop="1" thickBot="1" x14ac:dyDescent="0.25">
      <c r="B134" s="217"/>
      <c r="C134" s="176"/>
      <c r="D134" s="177"/>
      <c r="E134" s="178"/>
      <c r="F134" s="179"/>
      <c r="G134" s="179"/>
      <c r="H134" s="179"/>
      <c r="I134" s="179"/>
      <c r="J134" s="179"/>
      <c r="K134" s="179"/>
    </row>
    <row r="135" spans="1:11" s="68" customFormat="1" ht="12.95" customHeight="1" thickTop="1" thickBot="1" x14ac:dyDescent="0.25">
      <c r="B135" s="181"/>
      <c r="C135" s="69" t="s">
        <v>145</v>
      </c>
      <c r="D135" s="70"/>
      <c r="E135" s="70"/>
      <c r="F135" s="70"/>
      <c r="G135" s="70"/>
      <c r="H135" s="70"/>
      <c r="I135" s="70"/>
      <c r="J135" s="70"/>
    </row>
    <row r="136" spans="1:11" s="67" customFormat="1" ht="24.95" customHeight="1" thickBot="1" x14ac:dyDescent="0.25">
      <c r="A136" s="68"/>
      <c r="B136" s="72"/>
      <c r="C136" s="131"/>
      <c r="D136" s="73"/>
      <c r="E136" s="73"/>
      <c r="F136" s="73"/>
      <c r="G136" s="87"/>
      <c r="H136" s="97"/>
      <c r="I136" s="97"/>
      <c r="K136" s="184" t="s">
        <v>221</v>
      </c>
    </row>
    <row r="137" spans="1:11" s="67" customFormat="1" ht="12.95" customHeight="1" x14ac:dyDescent="0.2">
      <c r="A137" s="68"/>
      <c r="B137" s="72"/>
      <c r="C137" s="133" t="s">
        <v>101</v>
      </c>
      <c r="D137" s="73"/>
      <c r="E137" s="73"/>
      <c r="F137" s="73"/>
      <c r="G137" s="87"/>
      <c r="H137" s="79"/>
      <c r="I137" s="79"/>
      <c r="K137" s="83">
        <f>J67</f>
        <v>242.21</v>
      </c>
    </row>
    <row r="138" spans="1:11" s="67" customFormat="1" ht="12.95" customHeight="1" x14ac:dyDescent="0.2">
      <c r="A138" s="68"/>
      <c r="B138" s="72"/>
      <c r="C138" s="133" t="s">
        <v>287</v>
      </c>
      <c r="D138" s="73"/>
      <c r="E138" s="73"/>
      <c r="F138" s="73"/>
      <c r="G138" s="87"/>
      <c r="H138" s="79"/>
      <c r="I138" s="79"/>
      <c r="K138" s="83">
        <f>J67+J68</f>
        <v>323.04000000000002</v>
      </c>
    </row>
    <row r="139" spans="1:11" s="67" customFormat="1" ht="12.95" customHeight="1" x14ac:dyDescent="0.2">
      <c r="A139" s="68"/>
      <c r="B139" s="72"/>
      <c r="C139" s="144" t="s">
        <v>146</v>
      </c>
      <c r="D139" s="73"/>
      <c r="E139" s="73"/>
      <c r="F139" s="73"/>
      <c r="G139" s="87"/>
      <c r="H139" s="79"/>
      <c r="I139" s="79"/>
      <c r="K139" s="289">
        <f>SUM(K137:K138)</f>
        <v>565.25</v>
      </c>
    </row>
    <row r="140" spans="1:11" s="67" customFormat="1" ht="24.95" customHeight="1" x14ac:dyDescent="0.2">
      <c r="A140" s="68"/>
      <c r="B140" s="72"/>
      <c r="C140" s="482" t="s">
        <v>285</v>
      </c>
      <c r="D140" s="482"/>
      <c r="E140" s="482"/>
      <c r="F140" s="482"/>
      <c r="G140" s="482"/>
      <c r="H140" s="79"/>
      <c r="I140" s="79"/>
      <c r="K140" s="83">
        <f>ROUND(SUM(Encargos_Benefícios!I19:I26)*(Encargos_Benefícios!I28+Encargos_Benefícios!I28+Encargos_Benefícios!I29)*'Supervisor TRT'!J31,2)</f>
        <v>83.66</v>
      </c>
    </row>
    <row r="141" spans="1:11" s="67" customFormat="1" ht="12.95" customHeight="1" thickBot="1" x14ac:dyDescent="0.25">
      <c r="A141" s="68"/>
      <c r="B141" s="72"/>
      <c r="C141" s="133" t="s">
        <v>286</v>
      </c>
      <c r="D141" s="73"/>
      <c r="E141" s="73"/>
      <c r="F141" s="73"/>
      <c r="G141" s="87"/>
      <c r="H141" s="97"/>
      <c r="I141" s="79"/>
      <c r="K141" s="290">
        <f>J79</f>
        <v>93.05</v>
      </c>
    </row>
    <row r="142" spans="1:11" s="67" customFormat="1" ht="12.95" customHeight="1" thickTop="1" thickBot="1" x14ac:dyDescent="0.25">
      <c r="A142" s="68"/>
      <c r="B142" s="291"/>
      <c r="C142" s="292" t="s">
        <v>147</v>
      </c>
      <c r="D142" s="293"/>
      <c r="E142" s="293"/>
      <c r="F142" s="293"/>
      <c r="G142" s="294"/>
      <c r="H142" s="294"/>
      <c r="I142" s="294"/>
      <c r="J142" s="294"/>
      <c r="K142" s="295">
        <f>SUM(K139:K141)</f>
        <v>741.95999999999992</v>
      </c>
    </row>
    <row r="143" spans="1:11" s="96" customFormat="1" ht="15" customHeight="1" thickTop="1" x14ac:dyDescent="0.2">
      <c r="B143" s="174"/>
      <c r="C143" s="176"/>
      <c r="D143" s="177"/>
      <c r="E143" s="178"/>
      <c r="F143" s="179"/>
      <c r="G143" s="179"/>
      <c r="H143" s="179"/>
      <c r="I143" s="179"/>
      <c r="J143" s="179"/>
      <c r="K143" s="179"/>
    </row>
    <row r="144" spans="1:11" s="96" customFormat="1" ht="15" customHeight="1" x14ac:dyDescent="0.2"/>
    <row r="145" spans="1:11" s="153" customFormat="1" ht="30" customHeight="1" x14ac:dyDescent="0.2">
      <c r="A145" s="152"/>
      <c r="C145" s="481" t="s">
        <v>229</v>
      </c>
      <c r="D145" s="481"/>
      <c r="E145" s="481"/>
      <c r="F145" s="481"/>
      <c r="G145" s="481"/>
      <c r="H145" s="481"/>
      <c r="I145" s="481"/>
      <c r="J145" s="481"/>
      <c r="K145" s="481"/>
    </row>
    <row r="146" spans="1:11" ht="30" customHeight="1" x14ac:dyDescent="0.2">
      <c r="C146" s="480" t="s">
        <v>230</v>
      </c>
      <c r="D146" s="480"/>
      <c r="E146" s="480"/>
      <c r="F146" s="480"/>
      <c r="G146" s="480"/>
      <c r="H146" s="480"/>
      <c r="I146" s="480"/>
      <c r="J146" s="480"/>
      <c r="K146" s="480"/>
    </row>
    <row r="147" spans="1:11" ht="30" customHeight="1" x14ac:dyDescent="0.2">
      <c r="C147" s="480" t="s">
        <v>231</v>
      </c>
      <c r="D147" s="480"/>
      <c r="E147" s="480"/>
      <c r="F147" s="480"/>
      <c r="G147" s="480"/>
      <c r="H147" s="480"/>
      <c r="I147" s="480"/>
      <c r="J147" s="480"/>
      <c r="K147" s="480"/>
    </row>
    <row r="148" spans="1:11" ht="45" customHeight="1" x14ac:dyDescent="0.2">
      <c r="C148" s="480" t="s">
        <v>232</v>
      </c>
      <c r="D148" s="480"/>
      <c r="E148" s="480"/>
      <c r="F148" s="480"/>
      <c r="G148" s="480"/>
      <c r="H148" s="480"/>
      <c r="I148" s="480"/>
      <c r="J148" s="480"/>
      <c r="K148" s="480"/>
    </row>
    <row r="65533" hidden="1" x14ac:dyDescent="0.2"/>
  </sheetData>
  <mergeCells count="31">
    <mergeCell ref="G123:H123"/>
    <mergeCell ref="F40:H40"/>
    <mergeCell ref="F30:I30"/>
    <mergeCell ref="G119:H119"/>
    <mergeCell ref="F49:H49"/>
    <mergeCell ref="C148:K148"/>
    <mergeCell ref="C145:K145"/>
    <mergeCell ref="C146:K146"/>
    <mergeCell ref="C147:K147"/>
    <mergeCell ref="C140:G140"/>
    <mergeCell ref="L1:Y1"/>
    <mergeCell ref="J4:K4"/>
    <mergeCell ref="E4:F4"/>
    <mergeCell ref="G15:I15"/>
    <mergeCell ref="B15:F15"/>
    <mergeCell ref="B4:D4"/>
    <mergeCell ref="B14:F14"/>
    <mergeCell ref="H18:I18"/>
    <mergeCell ref="F18:G18"/>
    <mergeCell ref="B18:E18"/>
    <mergeCell ref="J14:K14"/>
    <mergeCell ref="B19:E19"/>
    <mergeCell ref="H19:I19"/>
    <mergeCell ref="J18:K18"/>
    <mergeCell ref="F19:G19"/>
    <mergeCell ref="J19:K19"/>
    <mergeCell ref="E11:I11"/>
    <mergeCell ref="G14:I14"/>
    <mergeCell ref="E5:K5"/>
    <mergeCell ref="J15:K15"/>
    <mergeCell ref="E9:K9"/>
  </mergeCells>
  <phoneticPr fontId="41" type="noConversion"/>
  <conditionalFormatting sqref="G142:J142 G141 G136:G139 I125:K125 J121 J123:K123 I128:K132 H136:I141 I106:K106 I98:K98 I101:K104 J119 K117:K122 I112 J109:J111 I109 I92:K96 J87:K87 I86:K86 I80:I81 J79:K81 I78:K78 I73:K73 I51:K51 I35:K40 I67:K68 I55:K62 J24:K30 I45:K49 K109:K115 J113:J115 J117 J116:K116">
    <cfRule type="cellIs" dxfId="2" priority="1" stopIfTrue="1" operator="equal">
      <formula>0</formula>
    </cfRule>
  </conditionalFormatting>
  <printOptions horizontalCentered="1"/>
  <pageMargins left="0.59055118110236227" right="0.39370078740157483" top="0.70866141732283472" bottom="0.59055118110236227" header="0.31496062992125984" footer="0.31496062992125984"/>
  <pageSetup paperSize="9" scale="89" firstPageNumber="0" orientation="portrait" horizontalDpi="300" verticalDpi="300" r:id="rId1"/>
  <headerFooter alignWithMargins="0">
    <oddHeader>&amp;C&amp;"Verdana,Negrito"&amp;11&amp;A</oddHeader>
    <oddFooter>&amp;C&amp;P</oddFooter>
  </headerFooter>
  <rowBreaks count="2" manualBreakCount="2">
    <brk id="51" max="10" man="1"/>
    <brk id="105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Y65533"/>
  <sheetViews>
    <sheetView showOutlineSymbols="0" view="pageBreakPreview" topLeftCell="A46" zoomScale="160" zoomScaleSheetLayoutView="160" workbookViewId="0">
      <selection activeCell="I118" sqref="I118"/>
    </sheetView>
  </sheetViews>
  <sheetFormatPr defaultColWidth="0" defaultRowHeight="11.25" x14ac:dyDescent="0.2"/>
  <cols>
    <col min="1" max="1" width="0.7109375" style="96" customWidth="1"/>
    <col min="2" max="2" width="2.7109375" style="150" customWidth="1"/>
    <col min="3" max="3" width="2.7109375" style="151" customWidth="1"/>
    <col min="4" max="4" width="4.7109375" style="150" customWidth="1"/>
    <col min="5" max="5" width="10.28515625" style="150" customWidth="1"/>
    <col min="6" max="6" width="11.7109375" style="150" customWidth="1"/>
    <col min="7" max="8" width="12.7109375" style="150" customWidth="1"/>
    <col min="9" max="9" width="10.7109375" style="150" customWidth="1"/>
    <col min="10" max="11" width="14.7109375" style="150" customWidth="1"/>
    <col min="12" max="16384" width="0" style="150" hidden="1"/>
  </cols>
  <sheetData>
    <row r="1" spans="1:25" s="96" customFormat="1" ht="14.1" customHeight="1" x14ac:dyDescent="0.2">
      <c r="A1" s="311"/>
      <c r="B1" s="298" t="s">
        <v>353</v>
      </c>
      <c r="C1" s="298"/>
      <c r="D1" s="298"/>
      <c r="E1" s="298"/>
      <c r="F1" s="298"/>
      <c r="G1" s="298"/>
      <c r="H1" s="298"/>
      <c r="I1" s="298"/>
      <c r="J1" s="298"/>
      <c r="K1" s="298"/>
      <c r="L1" s="473"/>
      <c r="M1" s="473"/>
      <c r="N1" s="473"/>
      <c r="O1" s="473"/>
      <c r="P1" s="473"/>
      <c r="Q1" s="473"/>
      <c r="R1" s="473"/>
      <c r="S1" s="473"/>
      <c r="T1" s="473"/>
      <c r="U1" s="473"/>
      <c r="V1" s="473"/>
      <c r="W1" s="473"/>
      <c r="X1" s="473"/>
      <c r="Y1" s="473"/>
    </row>
    <row r="2" spans="1:25" s="96" customFormat="1" ht="9.9499999999999993" customHeight="1" x14ac:dyDescent="0.2">
      <c r="B2" s="174"/>
      <c r="C2" s="176"/>
      <c r="D2" s="177"/>
      <c r="E2" s="178"/>
      <c r="F2" s="179"/>
      <c r="G2" s="179"/>
      <c r="H2" s="179"/>
      <c r="I2" s="179"/>
      <c r="J2" s="179"/>
      <c r="K2" s="179"/>
    </row>
    <row r="3" spans="1:25" s="96" customFormat="1" ht="9.9499999999999993" customHeight="1" x14ac:dyDescent="0.2"/>
    <row r="4" spans="1:25" s="96" customFormat="1" ht="14.1" customHeight="1" x14ac:dyDescent="0.2">
      <c r="B4" s="483" t="s">
        <v>161</v>
      </c>
      <c r="C4" s="483"/>
      <c r="D4" s="483"/>
      <c r="E4" s="476" t="str">
        <f>IF(ISBLANK('Dados Contratação'!$B$6),"000/2014",'Dados Contratação'!$B$6)</f>
        <v>22098/2020</v>
      </c>
      <c r="F4" s="477"/>
      <c r="G4" s="170"/>
      <c r="I4" s="171" t="s">
        <v>162</v>
      </c>
      <c r="J4" s="474" t="str">
        <f>IF(ISBLANK('Dados Contratação'!$E$6),"(NÚMERO DA LICITAÇÃO)",'Dados Contratação'!$E$6)</f>
        <v>XX/2020</v>
      </c>
      <c r="K4" s="475"/>
    </row>
    <row r="5" spans="1:25" s="173" customFormat="1" ht="39.950000000000003" customHeight="1" x14ac:dyDescent="0.2">
      <c r="B5" s="174" t="s">
        <v>163</v>
      </c>
      <c r="C5" s="174"/>
      <c r="D5" s="175"/>
      <c r="E5" s="467" t="str">
        <f>'Dados Contratação'!B13</f>
        <v>Contratação de empresa para fornecimento de mão de obra para prestação de serviços especializados e contínuos de Tecnologia da Informação para composição de Central de Serviços no modelo ITIL (Information Technology Infrastructure Library), visando atender às necessidades do TRT da 24ª Região</v>
      </c>
      <c r="F5" s="467"/>
      <c r="G5" s="468"/>
      <c r="H5" s="468"/>
      <c r="I5" s="468"/>
      <c r="J5" s="467"/>
      <c r="K5" s="467"/>
    </row>
    <row r="6" spans="1:25" s="96" customFormat="1" ht="9.9499999999999993" customHeight="1" x14ac:dyDescent="0.2"/>
    <row r="7" spans="1:25" s="96" customFormat="1" ht="14.1" customHeight="1" x14ac:dyDescent="0.15">
      <c r="B7" s="71" t="s">
        <v>164</v>
      </c>
      <c r="C7" s="169"/>
      <c r="D7" s="169"/>
      <c r="E7" s="309">
        <f>IF(ISBLANK('Dados Contratação'!$G$6),"dd/mm/aaaa",'Dados Contratação'!$G$6)</f>
        <v>44119</v>
      </c>
      <c r="F7" s="170"/>
      <c r="G7" s="170"/>
      <c r="H7" s="171" t="s">
        <v>165</v>
      </c>
      <c r="I7" s="310">
        <f>IF(ISBLANK('Dados Contratação'!$I$6),"00:00",'Dados Contratação'!$I$6)</f>
        <v>0.58333333333333337</v>
      </c>
      <c r="J7" s="170"/>
      <c r="K7" s="170"/>
    </row>
    <row r="8" spans="1:25" s="96" customFormat="1" ht="6" customHeight="1" x14ac:dyDescent="0.2"/>
    <row r="9" spans="1:25" s="96" customFormat="1" ht="14.1" customHeight="1" x14ac:dyDescent="0.2">
      <c r="B9" s="71" t="s">
        <v>166</v>
      </c>
      <c r="E9" s="470" t="str">
        <f>IF(ISBLANK('Dados Proponente'!$B$6),"(NOME DA EMPRESA)",'Dados Proponente'!$B$6)</f>
        <v>(NOME DA EMPRESA)</v>
      </c>
      <c r="F9" s="470"/>
      <c r="G9" s="470"/>
      <c r="H9" s="470"/>
      <c r="I9" s="470"/>
      <c r="J9" s="470"/>
      <c r="K9" s="470"/>
    </row>
    <row r="10" spans="1:25" s="96" customFormat="1" ht="6" customHeight="1" x14ac:dyDescent="0.2"/>
    <row r="11" spans="1:25" s="96" customFormat="1" ht="14.1" customHeight="1" x14ac:dyDescent="0.2">
      <c r="B11" s="71" t="s">
        <v>167</v>
      </c>
      <c r="C11" s="171"/>
      <c r="D11" s="171"/>
      <c r="E11" s="465" t="str">
        <f>IF(ISBLANK('Dados Proponente'!$H$6),"(CNPJ)",'Dados Proponente'!$H$6)</f>
        <v>(CNPJ)</v>
      </c>
      <c r="F11" s="465"/>
      <c r="G11" s="465"/>
      <c r="H11" s="465"/>
      <c r="I11" s="465"/>
      <c r="J11" s="172"/>
      <c r="K11" s="172"/>
    </row>
    <row r="12" spans="1:25" s="96" customFormat="1" ht="9.9499999999999993" customHeight="1" x14ac:dyDescent="0.2">
      <c r="B12" s="174"/>
      <c r="C12" s="176"/>
      <c r="D12" s="177"/>
      <c r="E12" s="178"/>
      <c r="F12" s="179"/>
      <c r="G12" s="179"/>
      <c r="H12" s="179"/>
      <c r="I12" s="179"/>
      <c r="J12" s="179"/>
      <c r="K12" s="179"/>
    </row>
    <row r="13" spans="1:25" s="96" customFormat="1" ht="9.9499999999999993" customHeight="1" x14ac:dyDescent="0.2"/>
    <row r="14" spans="1:25" s="96" customFormat="1" ht="20.100000000000001" customHeight="1" x14ac:dyDescent="0.2">
      <c r="B14" s="466" t="s">
        <v>168</v>
      </c>
      <c r="C14" s="466"/>
      <c r="D14" s="466"/>
      <c r="E14" s="466"/>
      <c r="F14" s="466"/>
      <c r="G14" s="466" t="s">
        <v>169</v>
      </c>
      <c r="H14" s="466"/>
      <c r="I14" s="466"/>
      <c r="J14" s="466" t="s">
        <v>170</v>
      </c>
      <c r="K14" s="466"/>
    </row>
    <row r="15" spans="1:25" s="96" customFormat="1" ht="24.95" customHeight="1" thickBot="1" x14ac:dyDescent="0.25">
      <c r="B15" s="491" t="str">
        <f>'Dados Contratação'!D21</f>
        <v>Prédio-Sede do TRT/24ª Região</v>
      </c>
      <c r="C15" s="492"/>
      <c r="D15" s="492"/>
      <c r="E15" s="492"/>
      <c r="F15" s="493"/>
      <c r="G15" s="478" t="str">
        <f>'Dados Contratação'!E21</f>
        <v>44 horas semanais</v>
      </c>
      <c r="H15" s="478"/>
      <c r="I15" s="478"/>
      <c r="J15" s="469">
        <f>'Dados Contratação'!J21</f>
        <v>3</v>
      </c>
      <c r="K15" s="469"/>
    </row>
    <row r="16" spans="1:25" s="96" customFormat="1" ht="9.9499999999999993" customHeight="1" x14ac:dyDescent="0.2">
      <c r="B16" s="174"/>
      <c r="C16" s="176"/>
      <c r="D16" s="177"/>
      <c r="E16" s="178"/>
      <c r="F16" s="179"/>
      <c r="G16" s="179"/>
      <c r="H16" s="179"/>
      <c r="I16" s="179"/>
      <c r="J16" s="179"/>
      <c r="K16" s="179"/>
    </row>
    <row r="17" spans="1:11" s="96" customFormat="1" ht="9.9499999999999993" customHeight="1" x14ac:dyDescent="0.2"/>
    <row r="18" spans="1:11" s="96" customFormat="1" ht="20.100000000000001" customHeight="1" x14ac:dyDescent="0.2">
      <c r="B18" s="471" t="s">
        <v>172</v>
      </c>
      <c r="C18" s="471"/>
      <c r="D18" s="471"/>
      <c r="E18" s="471"/>
      <c r="F18" s="466" t="s">
        <v>173</v>
      </c>
      <c r="G18" s="466"/>
      <c r="H18" s="466" t="s">
        <v>174</v>
      </c>
      <c r="I18" s="466"/>
      <c r="J18" s="466" t="s">
        <v>175</v>
      </c>
      <c r="K18" s="466"/>
    </row>
    <row r="19" spans="1:11" s="96" customFormat="1" ht="24.95" customHeight="1" thickBot="1" x14ac:dyDescent="0.25">
      <c r="B19" s="472" t="str">
        <f>'Dados Contratação'!C21</f>
        <v xml:space="preserve">Técnico de Informática </v>
      </c>
      <c r="C19" s="472"/>
      <c r="D19" s="472"/>
      <c r="E19" s="472"/>
      <c r="F19" s="485">
        <f>IF(ISBLANK(Encargos_Benefícios!$I$15),"dd/mm/aaaa",Encargos_Benefícios!$I$15)</f>
        <v>43983</v>
      </c>
      <c r="G19" s="485"/>
      <c r="H19" s="484">
        <f>Encargos_Benefícios!I11</f>
        <v>1100</v>
      </c>
      <c r="I19" s="484"/>
      <c r="J19" s="484">
        <f>Encargos_Benefícios!I12</f>
        <v>1968.86</v>
      </c>
      <c r="K19" s="484"/>
    </row>
    <row r="20" spans="1:11" s="96" customFormat="1" ht="9.9499999999999993" customHeight="1" x14ac:dyDescent="0.2">
      <c r="B20" s="174"/>
      <c r="C20" s="176"/>
      <c r="D20" s="177"/>
      <c r="E20" s="178"/>
      <c r="F20" s="179"/>
      <c r="G20" s="179"/>
      <c r="H20" s="179"/>
      <c r="I20" s="179"/>
      <c r="J20" s="179"/>
      <c r="K20" s="179"/>
    </row>
    <row r="21" spans="1:11" s="96" customFormat="1" ht="9.9499999999999993" customHeight="1" x14ac:dyDescent="0.2">
      <c r="I21" s="180">
        <f>ROUND(((($J$19+J29+J30)/220)*1.75),2)</f>
        <v>15.66</v>
      </c>
      <c r="J21" s="180">
        <f>ROUND(((($J$19+J29+J30)/220)*1.5),2)</f>
        <v>13.42</v>
      </c>
      <c r="K21" s="180">
        <f>ROUND(((($J$19+J29+J30)/220)*2),2)</f>
        <v>17.899999999999999</v>
      </c>
    </row>
    <row r="22" spans="1:11" s="96" customFormat="1" ht="14.1" customHeight="1" x14ac:dyDescent="0.2">
      <c r="B22" s="181"/>
      <c r="C22" s="182" t="s">
        <v>91</v>
      </c>
      <c r="D22" s="70"/>
      <c r="E22" s="70"/>
      <c r="F22" s="70"/>
      <c r="G22" s="70"/>
      <c r="H22" s="70"/>
      <c r="I22" s="183">
        <f>(ROUND(((($J$19+J29+J30)/220)*1.75),2)*1.25)</f>
        <v>19.574999999999999</v>
      </c>
      <c r="J22" s="180">
        <f>(ROUND(((($J$19+J29+J30)/220)*1.5),2)*1.25)</f>
        <v>16.774999999999999</v>
      </c>
      <c r="K22" s="180">
        <f>(ROUND(((($J$19+J29+J30)/220)*2),2)*1.25)</f>
        <v>22.375</v>
      </c>
    </row>
    <row r="23" spans="1:11" s="186" customFormat="1" ht="24.95" customHeight="1" x14ac:dyDescent="0.2">
      <c r="A23" s="96"/>
      <c r="B23" s="96"/>
      <c r="C23" s="96"/>
      <c r="D23" s="96"/>
      <c r="E23" s="96"/>
      <c r="F23" s="96"/>
      <c r="G23" s="96"/>
      <c r="H23" s="96"/>
      <c r="I23" s="96"/>
      <c r="J23" s="184" t="s">
        <v>176</v>
      </c>
      <c r="K23" s="185" t="s">
        <v>177</v>
      </c>
    </row>
    <row r="24" spans="1:11" s="186" customFormat="1" ht="12.95" customHeight="1" x14ac:dyDescent="0.2">
      <c r="A24" s="96"/>
      <c r="B24" s="96"/>
      <c r="C24" s="187"/>
      <c r="D24" s="100" t="s">
        <v>178</v>
      </c>
      <c r="E24" s="100"/>
      <c r="F24" s="100"/>
      <c r="G24" s="100"/>
      <c r="H24" s="100"/>
      <c r="I24" s="100"/>
      <c r="J24" s="188">
        <f>$J$19</f>
        <v>1968.86</v>
      </c>
      <c r="K24" s="189">
        <f t="shared" ref="K24:K30" si="0">IF($J24=0,0,(J24/J$105))</f>
        <v>0.54155618391664551</v>
      </c>
    </row>
    <row r="25" spans="1:11" s="186" customFormat="1" ht="12.95" customHeight="1" x14ac:dyDescent="0.2">
      <c r="A25" s="96"/>
      <c r="B25" s="96"/>
      <c r="C25" s="190"/>
      <c r="D25" s="100" t="s">
        <v>315</v>
      </c>
      <c r="E25" s="111"/>
      <c r="F25" s="111"/>
      <c r="G25" s="111"/>
      <c r="H25" s="111"/>
      <c r="I25" s="191">
        <v>0</v>
      </c>
      <c r="J25" s="192">
        <f>TRUNC(ROUND($I25*J$24,2),2)</f>
        <v>0</v>
      </c>
      <c r="K25" s="189">
        <f t="shared" si="0"/>
        <v>0</v>
      </c>
    </row>
    <row r="26" spans="1:11" s="186" customFormat="1" ht="12.95" customHeight="1" x14ac:dyDescent="0.2">
      <c r="A26" s="96"/>
      <c r="B26" s="96"/>
      <c r="C26" s="190"/>
      <c r="D26" s="111" t="s">
        <v>179</v>
      </c>
      <c r="E26" s="111"/>
      <c r="F26" s="111"/>
      <c r="G26" s="111"/>
      <c r="H26" s="111"/>
      <c r="I26" s="193">
        <v>0</v>
      </c>
      <c r="J26" s="192">
        <f>TRUNC(ROUND($I26*H19,2),2)</f>
        <v>0</v>
      </c>
      <c r="K26" s="189">
        <f t="shared" si="0"/>
        <v>0</v>
      </c>
    </row>
    <row r="27" spans="1:11" s="186" customFormat="1" ht="12.95" customHeight="1" x14ac:dyDescent="0.2">
      <c r="A27" s="96"/>
      <c r="B27" s="96"/>
      <c r="C27" s="190"/>
      <c r="D27" s="100" t="s">
        <v>180</v>
      </c>
      <c r="E27" s="100"/>
      <c r="F27" s="100"/>
      <c r="G27" s="100"/>
      <c r="H27" s="100"/>
      <c r="I27" s="193">
        <v>0</v>
      </c>
      <c r="J27" s="192">
        <f>TRUNC((ROUND($I27*J19,2))/2,2)</f>
        <v>0</v>
      </c>
      <c r="K27" s="189">
        <f t="shared" si="0"/>
        <v>0</v>
      </c>
    </row>
    <row r="28" spans="1:11" s="186" customFormat="1" ht="12.95" customHeight="1" x14ac:dyDescent="0.2">
      <c r="A28" s="96"/>
      <c r="B28" s="96"/>
      <c r="C28" s="187"/>
      <c r="D28" s="111" t="s">
        <v>181</v>
      </c>
      <c r="E28" s="111"/>
      <c r="F28" s="111"/>
      <c r="G28" s="111"/>
      <c r="H28" s="111"/>
      <c r="I28" s="193">
        <v>0</v>
      </c>
      <c r="J28" s="192">
        <f>TRUNC(ROUND(I28*J21,2),2)</f>
        <v>0</v>
      </c>
      <c r="K28" s="189">
        <f t="shared" si="0"/>
        <v>0</v>
      </c>
    </row>
    <row r="29" spans="1:11" s="186" customFormat="1" ht="12.95" customHeight="1" x14ac:dyDescent="0.2">
      <c r="A29" s="96"/>
      <c r="B29" s="96"/>
      <c r="C29" s="187"/>
      <c r="D29" s="111" t="s">
        <v>316</v>
      </c>
      <c r="E29" s="111"/>
      <c r="F29" s="111"/>
      <c r="G29" s="111"/>
      <c r="H29" s="111"/>
      <c r="I29" s="193">
        <v>0</v>
      </c>
      <c r="J29" s="192">
        <f>TRUNC(ROUND($I29*J$24,2),2)</f>
        <v>0</v>
      </c>
      <c r="K29" s="189">
        <f t="shared" si="0"/>
        <v>0</v>
      </c>
    </row>
    <row r="30" spans="1:11" s="186" customFormat="1" ht="12.95" customHeight="1" thickBot="1" x14ac:dyDescent="0.25">
      <c r="A30" s="96"/>
      <c r="B30" s="96"/>
      <c r="C30" s="187"/>
      <c r="D30" s="111" t="s">
        <v>182</v>
      </c>
      <c r="E30" s="111"/>
      <c r="F30" s="488"/>
      <c r="G30" s="488"/>
      <c r="H30" s="488"/>
      <c r="I30" s="489"/>
      <c r="J30" s="194">
        <v>0</v>
      </c>
      <c r="K30" s="189">
        <f t="shared" si="0"/>
        <v>0</v>
      </c>
    </row>
    <row r="31" spans="1:11" s="186" customFormat="1" ht="14.1" customHeight="1" thickBot="1" x14ac:dyDescent="0.25">
      <c r="A31" s="96"/>
      <c r="B31" s="195"/>
      <c r="C31" s="196"/>
      <c r="D31" s="197" t="s">
        <v>183</v>
      </c>
      <c r="E31" s="166"/>
      <c r="F31" s="166"/>
      <c r="G31" s="166"/>
      <c r="H31" s="166"/>
      <c r="I31" s="166"/>
      <c r="J31" s="198">
        <f>TRUNC(ROUND(SUM(J24:J30),2),2)</f>
        <v>1968.86</v>
      </c>
      <c r="K31" s="199">
        <f>IF($J31=0,0,(SUM(K24:K30)))</f>
        <v>0.54155618391664551</v>
      </c>
    </row>
    <row r="32" spans="1:11" s="96" customFormat="1" ht="12.95" customHeight="1" x14ac:dyDescent="0.2">
      <c r="J32" s="200"/>
      <c r="K32" s="200"/>
    </row>
    <row r="33" spans="1:11" s="96" customFormat="1" ht="14.1" customHeight="1" x14ac:dyDescent="0.2">
      <c r="B33" s="181"/>
      <c r="C33" s="182" t="s">
        <v>184</v>
      </c>
      <c r="D33" s="70"/>
      <c r="E33" s="70"/>
      <c r="F33" s="70"/>
      <c r="G33" s="70"/>
      <c r="H33" s="70"/>
      <c r="I33" s="70"/>
      <c r="J33" s="201"/>
      <c r="K33" s="71"/>
    </row>
    <row r="34" spans="1:11" s="203" customFormat="1" ht="24.95" customHeight="1" x14ac:dyDescent="0.2">
      <c r="A34" s="96"/>
      <c r="B34" s="96"/>
      <c r="C34" s="96"/>
      <c r="D34" s="96"/>
      <c r="E34" s="96"/>
      <c r="F34" s="96"/>
      <c r="G34" s="96"/>
      <c r="H34" s="96"/>
      <c r="I34" s="202"/>
      <c r="J34" s="184" t="s">
        <v>176</v>
      </c>
      <c r="K34" s="185" t="s">
        <v>177</v>
      </c>
    </row>
    <row r="35" spans="1:11" s="203" customFormat="1" ht="12.95" customHeight="1" x14ac:dyDescent="0.2">
      <c r="A35" s="96"/>
      <c r="B35" s="96"/>
      <c r="C35" s="110"/>
      <c r="D35" s="100" t="s">
        <v>185</v>
      </c>
      <c r="E35" s="100"/>
      <c r="F35" s="100"/>
      <c r="G35" s="100"/>
      <c r="H35" s="100"/>
      <c r="I35" s="79"/>
      <c r="J35" s="192">
        <f>Encargos_Benefícios!$H59</f>
        <v>56.55</v>
      </c>
      <c r="K35" s="189">
        <f t="shared" ref="K35:K40" si="1">IF($J35=0,0,(J35/J$105))</f>
        <v>1.5554687585956496E-2</v>
      </c>
    </row>
    <row r="36" spans="1:11" s="203" customFormat="1" ht="12.95" customHeight="1" x14ac:dyDescent="0.2">
      <c r="A36" s="96"/>
      <c r="B36" s="96"/>
      <c r="C36" s="110"/>
      <c r="D36" s="100" t="s">
        <v>186</v>
      </c>
      <c r="E36" s="100"/>
      <c r="F36" s="100"/>
      <c r="G36" s="100"/>
      <c r="H36" s="100"/>
      <c r="I36" s="79"/>
      <c r="J36" s="192">
        <f>Encargos_Benefícios!$H70</f>
        <v>400</v>
      </c>
      <c r="K36" s="189">
        <f t="shared" si="1"/>
        <v>0.11002431537369758</v>
      </c>
    </row>
    <row r="37" spans="1:11" s="203" customFormat="1" ht="12.95" customHeight="1" x14ac:dyDescent="0.2">
      <c r="A37" s="96"/>
      <c r="B37" s="96"/>
      <c r="C37" s="110"/>
      <c r="D37" s="73" t="s">
        <v>109</v>
      </c>
      <c r="E37" s="100"/>
      <c r="F37" s="100"/>
      <c r="G37" s="100"/>
      <c r="H37" s="100"/>
      <c r="I37" s="79"/>
      <c r="J37" s="192">
        <f>Encargos_Benefícios!$H34</f>
        <v>0</v>
      </c>
      <c r="K37" s="189">
        <f t="shared" si="1"/>
        <v>0</v>
      </c>
    </row>
    <row r="38" spans="1:11" s="203" customFormat="1" ht="12.95" customHeight="1" x14ac:dyDescent="0.2">
      <c r="A38" s="96"/>
      <c r="B38" s="96"/>
      <c r="C38" s="110"/>
      <c r="D38" s="100" t="s">
        <v>113</v>
      </c>
      <c r="E38" s="100"/>
      <c r="F38" s="100"/>
      <c r="G38" s="100"/>
      <c r="H38" s="100"/>
      <c r="I38" s="79"/>
      <c r="J38" s="192">
        <f>Encargos_Benefícios!$H41</f>
        <v>0</v>
      </c>
      <c r="K38" s="189">
        <f t="shared" si="1"/>
        <v>0</v>
      </c>
    </row>
    <row r="39" spans="1:11" s="203" customFormat="1" ht="12.95" customHeight="1" x14ac:dyDescent="0.2">
      <c r="A39" s="96"/>
      <c r="B39" s="96"/>
      <c r="C39" s="110"/>
      <c r="D39" s="100" t="s">
        <v>187</v>
      </c>
      <c r="E39" s="100"/>
      <c r="F39" s="100"/>
      <c r="G39" s="100"/>
      <c r="H39" s="100"/>
      <c r="I39" s="79"/>
      <c r="J39" s="192">
        <f>Encargos_Benefícios!$H45</f>
        <v>1.36</v>
      </c>
      <c r="K39" s="189">
        <f t="shared" si="1"/>
        <v>3.7408267227057181E-4</v>
      </c>
    </row>
    <row r="40" spans="1:11" s="203" customFormat="1" ht="14.1" customHeight="1" thickBot="1" x14ac:dyDescent="0.25">
      <c r="A40" s="96"/>
      <c r="B40" s="96"/>
      <c r="C40" s="110"/>
      <c r="D40" s="100" t="s">
        <v>188</v>
      </c>
      <c r="E40" s="100"/>
      <c r="F40" s="487" t="s">
        <v>360</v>
      </c>
      <c r="G40" s="487"/>
      <c r="H40" s="487"/>
      <c r="I40" s="79"/>
      <c r="J40" s="194">
        <v>0</v>
      </c>
      <c r="K40" s="189">
        <f t="shared" si="1"/>
        <v>0</v>
      </c>
    </row>
    <row r="41" spans="1:11" s="203" customFormat="1" ht="14.1" customHeight="1" thickBot="1" x14ac:dyDescent="0.25">
      <c r="A41" s="96"/>
      <c r="B41" s="96"/>
      <c r="C41" s="196"/>
      <c r="D41" s="197" t="s">
        <v>189</v>
      </c>
      <c r="E41" s="166"/>
      <c r="F41" s="166"/>
      <c r="G41" s="166"/>
      <c r="H41" s="166"/>
      <c r="I41" s="166"/>
      <c r="J41" s="198">
        <f>TRUNC(ROUND(SUM(J35:J40),2),2)</f>
        <v>457.91</v>
      </c>
      <c r="K41" s="199">
        <f>IF($J41=0,0,(SUM(K35:K40)))</f>
        <v>0.12595308563192464</v>
      </c>
    </row>
    <row r="42" spans="1:11" s="96" customFormat="1" ht="12.95" customHeight="1" x14ac:dyDescent="0.2">
      <c r="J42" s="200"/>
      <c r="K42" s="200"/>
    </row>
    <row r="43" spans="1:11" s="96" customFormat="1" ht="14.1" customHeight="1" x14ac:dyDescent="0.2">
      <c r="B43" s="181"/>
      <c r="C43" s="182" t="s">
        <v>190</v>
      </c>
      <c r="D43" s="70"/>
      <c r="E43" s="70"/>
      <c r="F43" s="70"/>
      <c r="G43" s="70"/>
      <c r="H43" s="70"/>
      <c r="I43" s="70"/>
      <c r="J43" s="204"/>
      <c r="K43" s="205"/>
    </row>
    <row r="44" spans="1:11" s="203" customFormat="1" ht="24.95" customHeight="1" x14ac:dyDescent="0.2">
      <c r="A44" s="96"/>
      <c r="B44" s="96"/>
      <c r="C44" s="96"/>
      <c r="D44" s="96"/>
      <c r="E44" s="96"/>
      <c r="F44" s="96"/>
      <c r="G44" s="96"/>
      <c r="H44" s="96"/>
      <c r="I44" s="202"/>
      <c r="J44" s="184" t="s">
        <v>176</v>
      </c>
      <c r="K44" s="185" t="s">
        <v>177</v>
      </c>
    </row>
    <row r="45" spans="1:11" s="203" customFormat="1" ht="12.95" customHeight="1" x14ac:dyDescent="0.2">
      <c r="A45" s="96"/>
      <c r="B45" s="96"/>
      <c r="C45" s="110"/>
      <c r="D45" s="100" t="s">
        <v>191</v>
      </c>
      <c r="E45" s="100"/>
      <c r="F45" s="100"/>
      <c r="G45" s="100"/>
      <c r="H45" s="100"/>
      <c r="I45" s="79"/>
      <c r="J45" s="192">
        <f>Uniformes!I16</f>
        <v>120.16</v>
      </c>
      <c r="K45" s="189">
        <f>IF($J45=0,0,(J45/J$105))</f>
        <v>3.3051304338258758E-2</v>
      </c>
    </row>
    <row r="46" spans="1:11" s="203" customFormat="1" ht="12.95" customHeight="1" x14ac:dyDescent="0.2">
      <c r="A46" s="96"/>
      <c r="B46" s="96"/>
      <c r="C46" s="110"/>
      <c r="D46" s="100" t="s">
        <v>297</v>
      </c>
      <c r="E46" s="100"/>
      <c r="F46" s="100"/>
      <c r="G46" s="100"/>
      <c r="H46" s="100"/>
      <c r="I46" s="79"/>
      <c r="J46" s="192">
        <v>0</v>
      </c>
      <c r="K46" s="189">
        <f>IF($J46=0,0,(J46/J$105))</f>
        <v>0</v>
      </c>
    </row>
    <row r="47" spans="1:11" s="203" customFormat="1" ht="12.95" customHeight="1" x14ac:dyDescent="0.2">
      <c r="A47" s="96"/>
      <c r="B47" s="96"/>
      <c r="C47" s="110"/>
      <c r="D47" s="100" t="s">
        <v>350</v>
      </c>
      <c r="E47" s="100"/>
      <c r="F47" s="100"/>
      <c r="G47" s="100"/>
      <c r="H47" s="100"/>
      <c r="I47" s="79"/>
      <c r="J47" s="192">
        <v>0</v>
      </c>
      <c r="K47" s="189">
        <f>IF($J47=0,0,(J47/J$105))</f>
        <v>0</v>
      </c>
    </row>
    <row r="48" spans="1:11" s="203" customFormat="1" ht="12.95" customHeight="1" x14ac:dyDescent="0.2">
      <c r="A48" s="96"/>
      <c r="B48" s="96"/>
      <c r="C48" s="110"/>
      <c r="D48" s="100" t="s">
        <v>351</v>
      </c>
      <c r="E48" s="100"/>
      <c r="F48" s="100"/>
      <c r="G48" s="100"/>
      <c r="H48" s="100"/>
      <c r="I48" s="79"/>
      <c r="J48" s="192">
        <v>0</v>
      </c>
      <c r="K48" s="189">
        <f>IF($J48=0,0,(J48/J$105))</f>
        <v>0</v>
      </c>
    </row>
    <row r="49" spans="1:11" s="203" customFormat="1" ht="14.1" customHeight="1" thickBot="1" x14ac:dyDescent="0.25">
      <c r="A49" s="96"/>
      <c r="B49" s="96"/>
      <c r="C49" s="110"/>
      <c r="D49" s="100" t="s">
        <v>188</v>
      </c>
      <c r="E49" s="100"/>
      <c r="F49" s="487"/>
      <c r="G49" s="487"/>
      <c r="H49" s="487"/>
      <c r="I49" s="79"/>
      <c r="J49" s="194">
        <v>0</v>
      </c>
      <c r="K49" s="189">
        <f>IF($J49=0,0,(J49/J$105))</f>
        <v>0</v>
      </c>
    </row>
    <row r="50" spans="1:11" s="203" customFormat="1" ht="14.1" customHeight="1" x14ac:dyDescent="0.2">
      <c r="A50" s="96"/>
      <c r="B50" s="96"/>
      <c r="C50" s="206"/>
      <c r="D50" s="197" t="s">
        <v>192</v>
      </c>
      <c r="E50" s="166"/>
      <c r="F50" s="166"/>
      <c r="G50" s="166"/>
      <c r="H50" s="166"/>
      <c r="I50" s="166"/>
      <c r="J50" s="198">
        <f>TRUNC(ROUND(SUM(J45:J49),2),2)</f>
        <v>120.16</v>
      </c>
      <c r="K50" s="199">
        <f>IF($J50=0,0,(SUM(K45:K45)))</f>
        <v>3.3051304338258758E-2</v>
      </c>
    </row>
    <row r="51" spans="1:11" s="203" customFormat="1" ht="12.95" customHeight="1" x14ac:dyDescent="0.2">
      <c r="A51" s="96"/>
      <c r="B51" s="96"/>
      <c r="C51" s="141"/>
      <c r="D51" s="207"/>
      <c r="E51" s="207"/>
      <c r="F51" s="207"/>
      <c r="G51" s="207"/>
      <c r="H51" s="207"/>
      <c r="I51" s="208"/>
      <c r="J51" s="209"/>
      <c r="K51" s="209"/>
    </row>
    <row r="52" spans="1:11" s="96" customFormat="1" ht="14.1" customHeight="1" x14ac:dyDescent="0.2">
      <c r="B52" s="181"/>
      <c r="C52" s="182" t="s">
        <v>193</v>
      </c>
      <c r="D52" s="70"/>
      <c r="E52" s="70"/>
      <c r="F52" s="70"/>
      <c r="G52" s="70"/>
      <c r="H52" s="70"/>
      <c r="I52" s="70"/>
      <c r="J52" s="201"/>
      <c r="K52" s="71"/>
    </row>
    <row r="53" spans="1:11" s="203" customFormat="1" ht="20.100000000000001" customHeight="1" x14ac:dyDescent="0.2">
      <c r="A53" s="96"/>
      <c r="B53" s="96"/>
      <c r="C53" s="210"/>
      <c r="D53" s="211" t="s">
        <v>194</v>
      </c>
      <c r="E53" s="212"/>
      <c r="F53" s="212"/>
      <c r="G53" s="212"/>
      <c r="H53" s="212"/>
      <c r="I53" s="212"/>
      <c r="J53" s="212"/>
      <c r="K53" s="212"/>
    </row>
    <row r="54" spans="1:11" s="203" customFormat="1" ht="24.95" customHeight="1" x14ac:dyDescent="0.2">
      <c r="A54" s="96"/>
      <c r="B54" s="96"/>
      <c r="C54" s="96"/>
      <c r="D54" s="96"/>
      <c r="E54" s="96"/>
      <c r="F54" s="96"/>
      <c r="G54" s="96"/>
      <c r="H54" s="96"/>
      <c r="I54" s="202"/>
      <c r="J54" s="184" t="s">
        <v>176</v>
      </c>
      <c r="K54" s="185" t="s">
        <v>177</v>
      </c>
    </row>
    <row r="55" spans="1:11" s="203" customFormat="1" ht="12.95" customHeight="1" x14ac:dyDescent="0.2">
      <c r="A55" s="96"/>
      <c r="B55" s="96"/>
      <c r="C55" s="110"/>
      <c r="D55" s="100"/>
      <c r="E55" s="100" t="s">
        <v>93</v>
      </c>
      <c r="F55" s="100"/>
      <c r="G55" s="100"/>
      <c r="H55" s="100"/>
      <c r="I55" s="79"/>
      <c r="J55" s="192">
        <f>TRUNC(ROUND(Encargos_Benefícios!$I19*($J$31+$J$69),2),2)</f>
        <v>0</v>
      </c>
      <c r="K55" s="189">
        <f t="shared" ref="K55:K62" si="2">IF($J55=0,0,(J55/J$105))</f>
        <v>0</v>
      </c>
    </row>
    <row r="56" spans="1:11" s="203" customFormat="1" ht="12.95" customHeight="1" x14ac:dyDescent="0.2">
      <c r="A56" s="96"/>
      <c r="B56" s="96"/>
      <c r="C56" s="110"/>
      <c r="D56" s="100"/>
      <c r="E56" s="100" t="s">
        <v>94</v>
      </c>
      <c r="F56" s="100"/>
      <c r="G56" s="100"/>
      <c r="H56" s="100"/>
      <c r="I56" s="79"/>
      <c r="J56" s="192">
        <f>TRUNC(ROUND(Encargos_Benefícios!$I20*($J$31+$J$69),2),2)</f>
        <v>32.81</v>
      </c>
      <c r="K56" s="189">
        <f t="shared" si="2"/>
        <v>9.0247444685275461E-3</v>
      </c>
    </row>
    <row r="57" spans="1:11" s="203" customFormat="1" ht="12.95" customHeight="1" x14ac:dyDescent="0.2">
      <c r="A57" s="96"/>
      <c r="B57" s="96"/>
      <c r="C57" s="110"/>
      <c r="D57" s="100"/>
      <c r="E57" s="100" t="s">
        <v>95</v>
      </c>
      <c r="F57" s="100"/>
      <c r="G57" s="100"/>
      <c r="H57" s="100"/>
      <c r="I57" s="79"/>
      <c r="J57" s="192">
        <f>TRUNC(ROUND(Encargos_Benefícios!$I21*($J$31+$J$69),2),2)</f>
        <v>21.88</v>
      </c>
      <c r="K57" s="189">
        <f t="shared" si="2"/>
        <v>6.0183300509412578E-3</v>
      </c>
    </row>
    <row r="58" spans="1:11" s="203" customFormat="1" ht="12.95" customHeight="1" x14ac:dyDescent="0.2">
      <c r="A58" s="96"/>
      <c r="B58" s="96"/>
      <c r="C58" s="110"/>
      <c r="D58" s="100"/>
      <c r="E58" s="100" t="s">
        <v>96</v>
      </c>
      <c r="F58" s="100"/>
      <c r="G58" s="100"/>
      <c r="H58" s="100"/>
      <c r="I58" s="79"/>
      <c r="J58" s="192">
        <f>TRUNC(ROUND(Encargos_Benefícios!$I22*($J$31+$J$69),2),2)</f>
        <v>4.38</v>
      </c>
      <c r="K58" s="189">
        <f t="shared" si="2"/>
        <v>1.2047662533419886E-3</v>
      </c>
    </row>
    <row r="59" spans="1:11" s="203" customFormat="1" ht="12.95" customHeight="1" x14ac:dyDescent="0.2">
      <c r="A59" s="96"/>
      <c r="B59" s="96"/>
      <c r="C59" s="110"/>
      <c r="D59" s="100"/>
      <c r="E59" s="100" t="s">
        <v>97</v>
      </c>
      <c r="F59" s="100"/>
      <c r="G59" s="100"/>
      <c r="H59" s="100"/>
      <c r="I59" s="79"/>
      <c r="J59" s="192">
        <f>TRUNC(ROUND(Encargos_Benefícios!$I23*($J$31+$J$69),2),2)</f>
        <v>54.69</v>
      </c>
      <c r="K59" s="189">
        <f t="shared" si="2"/>
        <v>1.5043074519468803E-2</v>
      </c>
    </row>
    <row r="60" spans="1:11" s="203" customFormat="1" ht="12.95" customHeight="1" x14ac:dyDescent="0.2">
      <c r="A60" s="96"/>
      <c r="B60" s="96"/>
      <c r="C60" s="110"/>
      <c r="D60" s="100"/>
      <c r="E60" s="100" t="s">
        <v>98</v>
      </c>
      <c r="F60" s="100"/>
      <c r="G60" s="100"/>
      <c r="H60" s="100"/>
      <c r="I60" s="79"/>
      <c r="J60" s="192">
        <f>TRUNC(ROUND(Encargos_Benefícios!$I24*($J$31+$J$69),2),2)</f>
        <v>175.01</v>
      </c>
      <c r="K60" s="189">
        <f t="shared" si="2"/>
        <v>4.8138388583877034E-2</v>
      </c>
    </row>
    <row r="61" spans="1:11" s="203" customFormat="1" ht="12.95" customHeight="1" x14ac:dyDescent="0.2">
      <c r="A61" s="96"/>
      <c r="B61" s="96"/>
      <c r="C61" s="110"/>
      <c r="D61" s="100"/>
      <c r="E61" s="100" t="s">
        <v>99</v>
      </c>
      <c r="F61" s="100"/>
      <c r="G61" s="100"/>
      <c r="H61" s="100"/>
      <c r="I61" s="79"/>
      <c r="J61" s="192">
        <f>TRUNC(ROUND(Encargos_Benefícios!$I25*($J$31+$J$69),2),2)</f>
        <v>21.88</v>
      </c>
      <c r="K61" s="189">
        <f t="shared" si="2"/>
        <v>6.0183300509412578E-3</v>
      </c>
    </row>
    <row r="62" spans="1:11" s="203" customFormat="1" ht="12.95" customHeight="1" x14ac:dyDescent="0.2">
      <c r="A62" s="96"/>
      <c r="B62" s="96"/>
      <c r="C62" s="110"/>
      <c r="D62" s="100"/>
      <c r="E62" s="100" t="s">
        <v>100</v>
      </c>
      <c r="F62" s="100"/>
      <c r="G62" s="100"/>
      <c r="H62" s="100"/>
      <c r="I62" s="79"/>
      <c r="J62" s="192">
        <f>TRUNC(ROUND(Encargos_Benefícios!$I26*($J$31+$J$69),2),2)</f>
        <v>13.13</v>
      </c>
      <c r="K62" s="189">
        <f t="shared" si="2"/>
        <v>3.6115481521416235E-3</v>
      </c>
    </row>
    <row r="63" spans="1:11" s="203" customFormat="1" ht="14.1" customHeight="1" x14ac:dyDescent="0.2">
      <c r="A63" s="96"/>
      <c r="B63" s="96"/>
      <c r="C63" s="196"/>
      <c r="D63" s="213" t="s">
        <v>195</v>
      </c>
      <c r="E63" s="214"/>
      <c r="F63" s="214"/>
      <c r="G63" s="214"/>
      <c r="H63" s="214"/>
      <c r="I63" s="214"/>
      <c r="J63" s="215">
        <f>TRUNC(ROUND(SUM(J55:J62),2),2)</f>
        <v>323.77999999999997</v>
      </c>
      <c r="K63" s="216">
        <f>IF($J63=0,0,(SUM(K55:K62)))</f>
        <v>8.9059182079239504E-2</v>
      </c>
    </row>
    <row r="64" spans="1:11" s="203" customFormat="1" ht="12.95" customHeight="1" x14ac:dyDescent="0.2">
      <c r="A64" s="96"/>
      <c r="B64" s="217"/>
      <c r="C64" s="96"/>
      <c r="D64" s="100"/>
      <c r="E64" s="100"/>
      <c r="F64" s="100"/>
      <c r="G64" s="100"/>
      <c r="H64" s="100"/>
      <c r="I64" s="100"/>
      <c r="J64" s="100"/>
      <c r="K64" s="100"/>
    </row>
    <row r="65" spans="1:11" s="203" customFormat="1" ht="20.100000000000001" customHeight="1" x14ac:dyDescent="0.2">
      <c r="A65" s="96"/>
      <c r="B65" s="96"/>
      <c r="C65" s="210"/>
      <c r="D65" s="211" t="s">
        <v>196</v>
      </c>
      <c r="E65" s="212"/>
      <c r="F65" s="212"/>
      <c r="G65" s="212"/>
      <c r="H65" s="212"/>
      <c r="I65" s="212"/>
      <c r="J65" s="212"/>
      <c r="K65" s="212"/>
    </row>
    <row r="66" spans="1:11" s="203" customFormat="1" ht="24.95" customHeight="1" x14ac:dyDescent="0.2">
      <c r="A66" s="96"/>
      <c r="B66" s="96"/>
      <c r="C66" s="96"/>
      <c r="D66" s="96"/>
      <c r="E66" s="96"/>
      <c r="F66" s="96"/>
      <c r="G66" s="96"/>
      <c r="H66" s="96"/>
      <c r="I66" s="202"/>
      <c r="J66" s="184" t="s">
        <v>176</v>
      </c>
      <c r="K66" s="185" t="s">
        <v>177</v>
      </c>
    </row>
    <row r="67" spans="1:11" s="203" customFormat="1" ht="12.95" customHeight="1" x14ac:dyDescent="0.2">
      <c r="A67" s="96"/>
      <c r="B67" s="96"/>
      <c r="C67" s="110"/>
      <c r="D67" s="100"/>
      <c r="E67" s="100" t="s">
        <v>101</v>
      </c>
      <c r="F67" s="100"/>
      <c r="G67" s="100"/>
      <c r="H67" s="100"/>
      <c r="I67" s="79"/>
      <c r="J67" s="218">
        <f>TRUNC(ROUND(Encargos_Benefícios!$I28*$J$31,2),2)</f>
        <v>164.01</v>
      </c>
      <c r="K67" s="189">
        <f>IF($J67=0,0,(J67/J$105))</f>
        <v>4.511271991110035E-2</v>
      </c>
    </row>
    <row r="68" spans="1:11" s="203" customFormat="1" ht="12.95" customHeight="1" thickBot="1" x14ac:dyDescent="0.25">
      <c r="A68" s="96"/>
      <c r="B68" s="96"/>
      <c r="C68" s="110"/>
      <c r="D68" s="100"/>
      <c r="E68" s="100" t="s">
        <v>102</v>
      </c>
      <c r="F68" s="100"/>
      <c r="G68" s="100"/>
      <c r="H68" s="100"/>
      <c r="I68" s="79"/>
      <c r="J68" s="218">
        <f>TRUNC(ROUND(Encargos_Benefícios!$I29*$J$31,2),2)</f>
        <v>54.73</v>
      </c>
      <c r="K68" s="189">
        <f>IF($J68=0,0,(J68/J$105))</f>
        <v>1.5054076951006171E-2</v>
      </c>
    </row>
    <row r="69" spans="1:11" s="203" customFormat="1" ht="14.1" customHeight="1" thickBot="1" x14ac:dyDescent="0.25">
      <c r="A69" s="96"/>
      <c r="B69" s="96"/>
      <c r="C69" s="196"/>
      <c r="D69" s="213" t="s">
        <v>239</v>
      </c>
      <c r="E69" s="214"/>
      <c r="F69" s="214"/>
      <c r="G69" s="214"/>
      <c r="H69" s="214"/>
      <c r="I69" s="214"/>
      <c r="J69" s="215">
        <f>TRUNC(ROUND(SUM(J67,J68),2),2)</f>
        <v>218.74</v>
      </c>
      <c r="K69" s="216">
        <f>IF($J69=0,0,(SUM(K67,K68)))</f>
        <v>6.016679686210652E-2</v>
      </c>
    </row>
    <row r="70" spans="1:11" s="203" customFormat="1" ht="12.95" customHeight="1" x14ac:dyDescent="0.2">
      <c r="A70" s="96"/>
      <c r="B70" s="217"/>
      <c r="C70" s="96"/>
      <c r="D70" s="100"/>
      <c r="E70" s="100"/>
      <c r="F70" s="100"/>
      <c r="G70" s="100"/>
      <c r="H70" s="100"/>
      <c r="I70" s="100"/>
      <c r="J70" s="100"/>
      <c r="K70" s="100"/>
    </row>
    <row r="71" spans="1:11" s="203" customFormat="1" ht="20.100000000000001" customHeight="1" x14ac:dyDescent="0.2">
      <c r="A71" s="96"/>
      <c r="B71" s="96"/>
      <c r="C71" s="210"/>
      <c r="D71" s="211" t="s">
        <v>197</v>
      </c>
      <c r="E71" s="211"/>
      <c r="F71" s="211"/>
      <c r="G71" s="211"/>
      <c r="H71" s="211"/>
      <c r="I71" s="211"/>
      <c r="J71" s="211"/>
      <c r="K71" s="211"/>
    </row>
    <row r="72" spans="1:11" s="203" customFormat="1" ht="24.95" customHeight="1" x14ac:dyDescent="0.2">
      <c r="A72" s="96"/>
      <c r="B72" s="96"/>
      <c r="C72" s="96"/>
      <c r="D72" s="96"/>
      <c r="E72" s="96"/>
      <c r="F72" s="96"/>
      <c r="G72" s="96"/>
      <c r="H72" s="96"/>
      <c r="I72" s="202"/>
      <c r="J72" s="184" t="s">
        <v>176</v>
      </c>
      <c r="K72" s="185" t="s">
        <v>177</v>
      </c>
    </row>
    <row r="73" spans="1:11" s="203" customFormat="1" ht="12.95" customHeight="1" thickBot="1" x14ac:dyDescent="0.25">
      <c r="A73" s="96"/>
      <c r="B73" s="96"/>
      <c r="C73" s="110"/>
      <c r="D73" s="100"/>
      <c r="E73" s="100" t="s">
        <v>103</v>
      </c>
      <c r="F73" s="100"/>
      <c r="G73" s="100"/>
      <c r="H73" s="100"/>
      <c r="I73" s="79"/>
      <c r="J73" s="192">
        <f>TRUNC(ROUND('Base de Cálculo'!G4*SUM(J37+J63+J67+J68),2),2)</f>
        <v>0.71</v>
      </c>
      <c r="K73" s="189">
        <f>IF($J73=0,0,(J73/J$105))</f>
        <v>1.952931597883132E-4</v>
      </c>
    </row>
    <row r="74" spans="1:11" s="203" customFormat="1" ht="14.1" customHeight="1" thickBot="1" x14ac:dyDescent="0.25">
      <c r="A74" s="96"/>
      <c r="B74" s="96"/>
      <c r="C74" s="196"/>
      <c r="D74" s="213" t="s">
        <v>198</v>
      </c>
      <c r="E74" s="214"/>
      <c r="F74" s="214"/>
      <c r="G74" s="214"/>
      <c r="H74" s="214"/>
      <c r="I74" s="214"/>
      <c r="J74" s="215">
        <f>TRUNC(ROUND(SUM(J73:J73),2),2)</f>
        <v>0.71</v>
      </c>
      <c r="K74" s="216">
        <f>IF($J74=0,0,(SUM(K73:K73)))</f>
        <v>1.952931597883132E-4</v>
      </c>
    </row>
    <row r="75" spans="1:11" s="203" customFormat="1" ht="12.95" customHeight="1" x14ac:dyDescent="0.2">
      <c r="A75" s="96"/>
      <c r="B75" s="217"/>
      <c r="C75" s="137"/>
      <c r="D75" s="100"/>
      <c r="E75" s="100"/>
      <c r="F75" s="100"/>
      <c r="G75" s="100"/>
      <c r="H75" s="100"/>
      <c r="I75" s="100"/>
      <c r="J75" s="100"/>
      <c r="K75" s="100"/>
    </row>
    <row r="76" spans="1:11" s="203" customFormat="1" ht="20.100000000000001" customHeight="1" x14ac:dyDescent="0.2">
      <c r="A76" s="96"/>
      <c r="B76" s="96"/>
      <c r="C76" s="210"/>
      <c r="D76" s="211" t="s">
        <v>137</v>
      </c>
      <c r="E76" s="212"/>
      <c r="F76" s="212"/>
      <c r="G76" s="212"/>
      <c r="H76" s="212"/>
      <c r="I76" s="212"/>
      <c r="J76" s="212"/>
      <c r="K76" s="212"/>
    </row>
    <row r="77" spans="1:11" s="203" customFormat="1" ht="24.95" customHeight="1" x14ac:dyDescent="0.2">
      <c r="A77" s="96"/>
      <c r="B77" s="96"/>
      <c r="C77" s="96"/>
      <c r="D77" s="96"/>
      <c r="E77" s="96"/>
      <c r="F77" s="96"/>
      <c r="G77" s="96"/>
      <c r="H77" s="96"/>
      <c r="I77" s="202"/>
      <c r="J77" s="184" t="s">
        <v>176</v>
      </c>
      <c r="K77" s="185" t="s">
        <v>177</v>
      </c>
    </row>
    <row r="78" spans="1:11" s="203" customFormat="1" ht="12.95" customHeight="1" x14ac:dyDescent="0.2">
      <c r="A78" s="96"/>
      <c r="B78" s="96"/>
      <c r="C78" s="110"/>
      <c r="D78" s="100"/>
      <c r="E78" s="100" t="s">
        <v>138</v>
      </c>
      <c r="F78" s="100"/>
      <c r="G78" s="100"/>
      <c r="H78" s="100"/>
      <c r="I78" s="79"/>
      <c r="J78" s="192">
        <f>TRUNC(ROUND(SUM(J31,J67,J68,J60)*'Base de Cálculo'!F113/'Base de Cálculo'!F114/'Base de Cálculo'!F110*'Base de Cálculo'!F118,2),2)</f>
        <v>67.98</v>
      </c>
      <c r="K78" s="189">
        <f>IF($J78=0,0,(J78/J$105))</f>
        <v>1.8698632397759905E-2</v>
      </c>
    </row>
    <row r="79" spans="1:11" s="203" customFormat="1" ht="12.95" customHeight="1" x14ac:dyDescent="0.2">
      <c r="A79" s="96"/>
      <c r="B79" s="96"/>
      <c r="C79" s="110"/>
      <c r="D79" s="100"/>
      <c r="E79" s="73" t="s">
        <v>140</v>
      </c>
      <c r="F79" s="73"/>
      <c r="G79" s="73"/>
      <c r="H79" s="73"/>
      <c r="I79" s="73"/>
      <c r="J79" s="192">
        <f>TRUNC(ROUND(SUM(J31+J68+J67)*'Base de Cálculo'!G118,2),2)</f>
        <v>63</v>
      </c>
      <c r="K79" s="189">
        <f>IF($J79=0,0,(J79/J$105))</f>
        <v>1.7328829671357369E-2</v>
      </c>
    </row>
    <row r="80" spans="1:11" s="203" customFormat="1" ht="12.95" customHeight="1" x14ac:dyDescent="0.2">
      <c r="A80" s="96"/>
      <c r="B80" s="96"/>
      <c r="C80" s="110"/>
      <c r="D80" s="100"/>
      <c r="E80" s="100" t="s">
        <v>142</v>
      </c>
      <c r="F80" s="100"/>
      <c r="G80" s="100"/>
      <c r="H80" s="100"/>
      <c r="I80" s="79"/>
      <c r="J80" s="192">
        <f>TRUNC(ROUND(SUM(J31,J63,J41,J69)*'Base de Cálculo'!F125/'Base de Cálculo'!F126/'Base de Cálculo'!F122/30*7*'Base de Cálculo'!F130,2),2)</f>
        <v>2.16</v>
      </c>
      <c r="K80" s="189">
        <f>IF($J80=0,0,(J80/J$105))</f>
        <v>5.9413130301796697E-4</v>
      </c>
    </row>
    <row r="81" spans="1:11" s="203" customFormat="1" ht="12.95" customHeight="1" thickBot="1" x14ac:dyDescent="0.25">
      <c r="A81" s="96"/>
      <c r="B81" s="96"/>
      <c r="C81" s="110"/>
      <c r="D81" s="100"/>
      <c r="E81" s="73" t="s">
        <v>143</v>
      </c>
      <c r="F81" s="100"/>
      <c r="G81" s="100"/>
      <c r="H81" s="100"/>
      <c r="I81" s="79"/>
      <c r="J81" s="192">
        <f>TRUNC(ROUND(SUM(J31,J67,J68)*'Base de Cálculo'!G130,2),2)</f>
        <v>7</v>
      </c>
      <c r="K81" s="189">
        <f>IF($J81=0,0,(J81/J$105))</f>
        <v>1.9254255190397078E-3</v>
      </c>
    </row>
    <row r="82" spans="1:11" s="203" customFormat="1" ht="14.1" customHeight="1" x14ac:dyDescent="0.2">
      <c r="A82" s="96"/>
      <c r="B82" s="96"/>
      <c r="C82" s="196"/>
      <c r="D82" s="213" t="s">
        <v>199</v>
      </c>
      <c r="E82" s="214"/>
      <c r="F82" s="214"/>
      <c r="G82" s="214"/>
      <c r="H82" s="214"/>
      <c r="I82" s="214"/>
      <c r="J82" s="215">
        <f>TRUNC(ROUND(SUM(J78:J81),2),2)</f>
        <v>140.13999999999999</v>
      </c>
      <c r="K82" s="216">
        <f>IF($J82=0,0,(SUM(K78:IV81)))</f>
        <v>3.8547018891174956E-2</v>
      </c>
    </row>
    <row r="83" spans="1:11" s="203" customFormat="1" ht="12.95" customHeight="1" x14ac:dyDescent="0.2">
      <c r="A83" s="96"/>
      <c r="B83" s="217"/>
      <c r="C83" s="137"/>
      <c r="D83" s="100"/>
      <c r="E83" s="100"/>
      <c r="F83" s="100"/>
      <c r="G83" s="100"/>
      <c r="H83" s="100"/>
      <c r="I83" s="100"/>
      <c r="J83" s="100"/>
      <c r="K83" s="100"/>
    </row>
    <row r="84" spans="1:11" s="203" customFormat="1" ht="20.100000000000001" customHeight="1" x14ac:dyDescent="0.2">
      <c r="A84" s="96"/>
      <c r="B84" s="96"/>
      <c r="C84" s="210"/>
      <c r="D84" s="211" t="s">
        <v>200</v>
      </c>
      <c r="E84" s="212"/>
      <c r="F84" s="212"/>
      <c r="G84" s="212"/>
      <c r="H84" s="212"/>
      <c r="I84" s="212"/>
      <c r="J84" s="212"/>
      <c r="K84" s="212"/>
    </row>
    <row r="85" spans="1:11" s="203" customFormat="1" ht="24.95" customHeight="1" x14ac:dyDescent="0.2">
      <c r="A85" s="96"/>
      <c r="B85" s="96"/>
      <c r="C85" s="96"/>
      <c r="D85" s="96"/>
      <c r="E85" s="96"/>
      <c r="F85" s="96"/>
      <c r="G85" s="96"/>
      <c r="H85" s="96"/>
      <c r="I85" s="202"/>
      <c r="J85" s="184" t="s">
        <v>176</v>
      </c>
      <c r="K85" s="185" t="s">
        <v>177</v>
      </c>
    </row>
    <row r="86" spans="1:11" s="203" customFormat="1" ht="12.95" customHeight="1" x14ac:dyDescent="0.2">
      <c r="A86" s="96"/>
      <c r="B86" s="96"/>
      <c r="C86" s="110"/>
      <c r="D86" s="100"/>
      <c r="E86" s="100" t="s">
        <v>134</v>
      </c>
      <c r="F86" s="100"/>
      <c r="G86" s="100"/>
      <c r="H86" s="100"/>
      <c r="I86" s="79"/>
      <c r="J86" s="192">
        <f>TRUNC(ROUND((SUM(J31,J41,J45,J63,J74,J82,J69)*'Base de Cálculo'!F103)/'Base de Cálculo'!G103,2),2)</f>
        <v>325.85000000000002</v>
      </c>
      <c r="K86" s="189">
        <f>IF($J86=0,0,(J86/J$105))</f>
        <v>8.9628557911298409E-2</v>
      </c>
    </row>
    <row r="87" spans="1:11" s="203" customFormat="1" ht="12.95" customHeight="1" thickBot="1" x14ac:dyDescent="0.25">
      <c r="A87" s="96"/>
      <c r="B87" s="96"/>
      <c r="C87" s="110"/>
      <c r="D87" s="100"/>
      <c r="E87" s="73" t="s">
        <v>136</v>
      </c>
      <c r="F87" s="73"/>
      <c r="G87" s="73"/>
      <c r="H87" s="73"/>
      <c r="I87" s="73"/>
      <c r="J87" s="192">
        <f>TRUNC(ROUND((SUM(J31,J41,J45,J63,J74,J82,J69)*'Base de Cálculo'!F104)/'Base de Cálculo'!G104,2),2)</f>
        <v>79.41</v>
      </c>
      <c r="K87" s="189">
        <f>IF($J87=0,0,(J87/J$105))</f>
        <v>2.1842577209563313E-2</v>
      </c>
    </row>
    <row r="88" spans="1:11" s="203" customFormat="1" ht="14.1" customHeight="1" thickBot="1" x14ac:dyDescent="0.25">
      <c r="A88" s="96"/>
      <c r="B88" s="96"/>
      <c r="C88" s="196"/>
      <c r="D88" s="213" t="s">
        <v>201</v>
      </c>
      <c r="E88" s="214"/>
      <c r="F88" s="214"/>
      <c r="G88" s="214"/>
      <c r="H88" s="214"/>
      <c r="I88" s="214"/>
      <c r="J88" s="215">
        <f>TRUNC(ROUND(SUM(J86:J87),2),2)</f>
        <v>405.26</v>
      </c>
      <c r="K88" s="216">
        <f>IF($J88=0,0,(SUM(K86:K87)))</f>
        <v>0.11147113512086172</v>
      </c>
    </row>
    <row r="89" spans="1:11" s="203" customFormat="1" ht="12.95" customHeight="1" x14ac:dyDescent="0.2">
      <c r="A89" s="96"/>
      <c r="B89" s="217"/>
      <c r="C89" s="137"/>
      <c r="D89" s="100"/>
      <c r="E89" s="100"/>
      <c r="F89" s="100"/>
      <c r="G89" s="100"/>
      <c r="H89" s="100"/>
      <c r="I89" s="100"/>
      <c r="J89" s="100"/>
      <c r="K89" s="100"/>
    </row>
    <row r="90" spans="1:11" s="203" customFormat="1" ht="20.100000000000001" customHeight="1" x14ac:dyDescent="0.2">
      <c r="A90" s="96"/>
      <c r="B90" s="96"/>
      <c r="C90" s="210"/>
      <c r="D90" s="211" t="s">
        <v>202</v>
      </c>
      <c r="E90" s="212"/>
      <c r="F90" s="212"/>
      <c r="G90" s="212"/>
      <c r="H90" s="212"/>
      <c r="I90" s="212"/>
      <c r="J90" s="212"/>
      <c r="K90" s="212"/>
    </row>
    <row r="91" spans="1:11" s="203" customFormat="1" ht="24.95" customHeight="1" x14ac:dyDescent="0.2">
      <c r="A91" s="96"/>
      <c r="B91" s="96"/>
      <c r="C91" s="96"/>
      <c r="D91" s="96"/>
      <c r="E91" s="96"/>
      <c r="F91" s="96"/>
      <c r="G91" s="96"/>
      <c r="H91" s="96"/>
      <c r="I91" s="202"/>
      <c r="J91" s="184" t="s">
        <v>176</v>
      </c>
      <c r="K91" s="185" t="s">
        <v>177</v>
      </c>
    </row>
    <row r="92" spans="1:11" s="203" customFormat="1" ht="12.95" customHeight="1" x14ac:dyDescent="0.2">
      <c r="A92" s="96"/>
      <c r="B92" s="96"/>
      <c r="C92" s="110"/>
      <c r="D92" s="100"/>
      <c r="E92" s="100" t="s">
        <v>203</v>
      </c>
      <c r="F92" s="100"/>
      <c r="G92" s="100"/>
      <c r="H92" s="100"/>
      <c r="I92" s="79"/>
      <c r="J92" s="218">
        <f>J63</f>
        <v>323.77999999999997</v>
      </c>
      <c r="K92" s="189">
        <f>IF($J92=0,0,(J92/J$105))</f>
        <v>8.9059182079239504E-2</v>
      </c>
    </row>
    <row r="93" spans="1:11" s="203" customFormat="1" ht="12.95" customHeight="1" x14ac:dyDescent="0.2">
      <c r="A93" s="96"/>
      <c r="B93" s="96"/>
      <c r="C93" s="110"/>
      <c r="D93" s="100"/>
      <c r="E93" s="100" t="s">
        <v>204</v>
      </c>
      <c r="F93" s="100"/>
      <c r="G93" s="100"/>
      <c r="H93" s="100"/>
      <c r="I93" s="79"/>
      <c r="J93" s="192">
        <f>J69</f>
        <v>218.74</v>
      </c>
      <c r="K93" s="189">
        <f>IF($J93=0,0,(J93/J$105))</f>
        <v>6.0166796862106527E-2</v>
      </c>
    </row>
    <row r="94" spans="1:11" s="203" customFormat="1" ht="12.95" customHeight="1" x14ac:dyDescent="0.2">
      <c r="A94" s="96"/>
      <c r="B94" s="96"/>
      <c r="C94" s="110"/>
      <c r="D94" s="100"/>
      <c r="E94" s="100" t="s">
        <v>103</v>
      </c>
      <c r="F94" s="100"/>
      <c r="G94" s="100"/>
      <c r="H94" s="100"/>
      <c r="I94" s="79"/>
      <c r="J94" s="192">
        <f>J74</f>
        <v>0.71</v>
      </c>
      <c r="K94" s="189">
        <f>IF($J94=0,0,(J94/J$105))</f>
        <v>1.952931597883132E-4</v>
      </c>
    </row>
    <row r="95" spans="1:11" s="203" customFormat="1" ht="12.95" customHeight="1" x14ac:dyDescent="0.2">
      <c r="A95" s="96"/>
      <c r="B95" s="96"/>
      <c r="C95" s="110"/>
      <c r="D95" s="100"/>
      <c r="E95" s="100" t="s">
        <v>144</v>
      </c>
      <c r="F95" s="100"/>
      <c r="G95" s="100"/>
      <c r="H95" s="100"/>
      <c r="I95" s="79"/>
      <c r="J95" s="192">
        <f>J82</f>
        <v>140.13999999999999</v>
      </c>
      <c r="K95" s="189">
        <f>IF($J95=0,0,(J95/J$105))</f>
        <v>3.8547018891174949E-2</v>
      </c>
    </row>
    <row r="96" spans="1:11" s="203" customFormat="1" ht="12.95" customHeight="1" thickBot="1" x14ac:dyDescent="0.25">
      <c r="A96" s="96"/>
      <c r="B96" s="96"/>
      <c r="C96" s="110"/>
      <c r="D96" s="100"/>
      <c r="E96" s="100" t="s">
        <v>205</v>
      </c>
      <c r="F96" s="100"/>
      <c r="G96" s="100"/>
      <c r="H96" s="100"/>
      <c r="I96" s="79"/>
      <c r="J96" s="192">
        <f>J88</f>
        <v>405.26</v>
      </c>
      <c r="K96" s="189">
        <f>IF($J96=0,0,(J96/J$105))</f>
        <v>0.11147113512086171</v>
      </c>
    </row>
    <row r="97" spans="1:11" s="203" customFormat="1" ht="14.1" customHeight="1" thickBot="1" x14ac:dyDescent="0.25">
      <c r="A97" s="96"/>
      <c r="B97" s="96"/>
      <c r="C97" s="196"/>
      <c r="D97" s="213" t="s">
        <v>206</v>
      </c>
      <c r="E97" s="214"/>
      <c r="F97" s="214"/>
      <c r="G97" s="214"/>
      <c r="H97" s="214"/>
      <c r="I97" s="214"/>
      <c r="J97" s="215">
        <f>TRUNC(ROUND(SUM(J92:J96),2),2)</f>
        <v>1088.6300000000001</v>
      </c>
      <c r="K97" s="216">
        <f>IF($J97=0,0,(SUM(K92:K96)))</f>
        <v>0.29943942611317098</v>
      </c>
    </row>
    <row r="98" spans="1:11" s="203" customFormat="1" ht="12.95" customHeight="1" x14ac:dyDescent="0.2">
      <c r="A98" s="96"/>
      <c r="B98" s="217"/>
      <c r="C98" s="137"/>
      <c r="D98" s="207"/>
      <c r="E98" s="207"/>
      <c r="F98" s="207"/>
      <c r="G98" s="207"/>
      <c r="H98" s="207"/>
      <c r="I98" s="208"/>
      <c r="J98" s="209"/>
      <c r="K98" s="209"/>
    </row>
    <row r="99" spans="1:11" s="96" customFormat="1" ht="14.1" customHeight="1" x14ac:dyDescent="0.2">
      <c r="B99" s="181"/>
      <c r="C99" s="182" t="s">
        <v>207</v>
      </c>
      <c r="D99" s="70"/>
      <c r="E99" s="70"/>
      <c r="F99" s="70"/>
      <c r="G99" s="70"/>
      <c r="H99" s="70"/>
      <c r="I99" s="70"/>
      <c r="J99" s="219"/>
      <c r="K99" s="219"/>
    </row>
    <row r="100" spans="1:11" s="96" customFormat="1" ht="24.95" customHeight="1" x14ac:dyDescent="0.2">
      <c r="C100" s="138"/>
      <c r="D100" s="71"/>
      <c r="E100" s="71"/>
      <c r="F100" s="71"/>
      <c r="G100" s="71"/>
      <c r="H100" s="71"/>
      <c r="I100" s="71"/>
      <c r="J100" s="184" t="s">
        <v>176</v>
      </c>
      <c r="K100" s="185" t="s">
        <v>177</v>
      </c>
    </row>
    <row r="101" spans="1:11" s="203" customFormat="1" ht="12.95" customHeight="1" x14ac:dyDescent="0.2">
      <c r="A101" s="96"/>
      <c r="B101" s="96"/>
      <c r="C101" s="110"/>
      <c r="D101" s="100" t="s">
        <v>183</v>
      </c>
      <c r="E101" s="100"/>
      <c r="F101" s="100"/>
      <c r="G101" s="100"/>
      <c r="H101" s="100"/>
      <c r="I101" s="79"/>
      <c r="J101" s="192">
        <f>J31</f>
        <v>1968.86</v>
      </c>
      <c r="K101" s="189">
        <f>IF($J101=0,0,(J101/J$105))</f>
        <v>0.54155618391664551</v>
      </c>
    </row>
    <row r="102" spans="1:11" s="203" customFormat="1" ht="12.95" customHeight="1" x14ac:dyDescent="0.2">
      <c r="A102" s="96"/>
      <c r="B102" s="96"/>
      <c r="C102" s="110"/>
      <c r="D102" s="100" t="s">
        <v>189</v>
      </c>
      <c r="E102" s="100"/>
      <c r="F102" s="100"/>
      <c r="G102" s="100"/>
      <c r="H102" s="100"/>
      <c r="I102" s="79"/>
      <c r="J102" s="192">
        <f>J41</f>
        <v>457.91</v>
      </c>
      <c r="K102" s="189">
        <f>IF($J102=0,0,(J102/J$105))</f>
        <v>0.12595308563192467</v>
      </c>
    </row>
    <row r="103" spans="1:11" s="203" customFormat="1" ht="12.95" customHeight="1" x14ac:dyDescent="0.2">
      <c r="A103" s="96"/>
      <c r="B103" s="96"/>
      <c r="C103" s="110"/>
      <c r="D103" s="100" t="s">
        <v>192</v>
      </c>
      <c r="E103" s="100"/>
      <c r="F103" s="100"/>
      <c r="G103" s="100"/>
      <c r="H103" s="100"/>
      <c r="I103" s="79"/>
      <c r="J103" s="192">
        <f>J50</f>
        <v>120.16</v>
      </c>
      <c r="K103" s="189">
        <f>IF($J103=0,0,(J103/J$105))</f>
        <v>3.3051304338258758E-2</v>
      </c>
    </row>
    <row r="104" spans="1:11" s="203" customFormat="1" ht="12.95" customHeight="1" x14ac:dyDescent="0.2">
      <c r="A104" s="96"/>
      <c r="B104" s="96"/>
      <c r="C104" s="110"/>
      <c r="D104" s="100" t="s">
        <v>206</v>
      </c>
      <c r="E104" s="100"/>
      <c r="F104" s="100"/>
      <c r="G104" s="100"/>
      <c r="H104" s="100"/>
      <c r="I104" s="79"/>
      <c r="J104" s="192">
        <f>J97</f>
        <v>1088.6300000000001</v>
      </c>
      <c r="K104" s="189">
        <f>IF($J104=0,0,(J104/J$105))</f>
        <v>0.29943942611317104</v>
      </c>
    </row>
    <row r="105" spans="1:11" s="203" customFormat="1" ht="14.1" customHeight="1" x14ac:dyDescent="0.2">
      <c r="A105" s="96"/>
      <c r="B105" s="96"/>
      <c r="C105" s="196"/>
      <c r="D105" s="197" t="s">
        <v>208</v>
      </c>
      <c r="E105" s="166"/>
      <c r="F105" s="166"/>
      <c r="G105" s="166"/>
      <c r="H105" s="166"/>
      <c r="I105" s="166"/>
      <c r="J105" s="198">
        <f>TRUNC(ROUND(SUM(J101:J104),2),2)</f>
        <v>3635.56</v>
      </c>
      <c r="K105" s="199">
        <f>SUM(K101:K104)</f>
        <v>1</v>
      </c>
    </row>
    <row r="106" spans="1:11" s="203" customFormat="1" ht="12.95" customHeight="1" x14ac:dyDescent="0.2">
      <c r="A106" s="96"/>
      <c r="B106" s="217"/>
      <c r="C106" s="137"/>
      <c r="D106" s="207"/>
      <c r="E106" s="207"/>
      <c r="F106" s="207"/>
      <c r="G106" s="207"/>
      <c r="H106" s="207"/>
      <c r="I106" s="208"/>
      <c r="J106" s="209"/>
      <c r="K106" s="209"/>
    </row>
    <row r="107" spans="1:11" s="96" customFormat="1" ht="14.1" customHeight="1" x14ac:dyDescent="0.2">
      <c r="B107" s="181"/>
      <c r="C107" s="182" t="s">
        <v>209</v>
      </c>
      <c r="D107" s="70"/>
      <c r="E107" s="70"/>
      <c r="F107" s="70"/>
      <c r="G107" s="70"/>
      <c r="H107" s="70"/>
      <c r="I107" s="70"/>
      <c r="J107" s="204"/>
      <c r="K107" s="205"/>
    </row>
    <row r="108" spans="1:11" s="96" customFormat="1" ht="24.95" customHeight="1" x14ac:dyDescent="0.2">
      <c r="C108" s="138"/>
      <c r="D108" s="71"/>
      <c r="E108" s="71"/>
      <c r="F108" s="71"/>
      <c r="G108" s="71"/>
      <c r="H108" s="71"/>
      <c r="I108" s="71"/>
      <c r="J108" s="184" t="s">
        <v>176</v>
      </c>
      <c r="K108" s="185" t="s">
        <v>177</v>
      </c>
    </row>
    <row r="109" spans="1:11" s="203" customFormat="1" ht="12.95" customHeight="1" x14ac:dyDescent="0.2">
      <c r="A109" s="96"/>
      <c r="B109" s="96"/>
      <c r="C109" s="110"/>
      <c r="D109" s="220" t="s">
        <v>208</v>
      </c>
      <c r="E109" s="220"/>
      <c r="F109" s="220"/>
      <c r="G109" s="220"/>
      <c r="H109" s="220"/>
      <c r="I109" s="221"/>
      <c r="J109" s="222">
        <f>J105</f>
        <v>3635.56</v>
      </c>
      <c r="K109" s="223">
        <f>IF($J109=0,0,(J109/J$124))</f>
        <v>0.78959007624615818</v>
      </c>
    </row>
    <row r="110" spans="1:11" s="203" customFormat="1" ht="12.95" customHeight="1" x14ac:dyDescent="0.2">
      <c r="A110" s="96"/>
      <c r="B110" s="96"/>
      <c r="C110" s="110"/>
      <c r="D110" s="100" t="s">
        <v>210</v>
      </c>
      <c r="E110" s="100"/>
      <c r="F110" s="100"/>
      <c r="G110" s="100"/>
      <c r="H110" s="100"/>
      <c r="I110" s="224">
        <f>'Supervisor TRT'!I110</f>
        <v>0.03</v>
      </c>
      <c r="J110" s="192">
        <f>TRUNC(ROUND($I110*$J$109,2),2)</f>
        <v>109.07</v>
      </c>
      <c r="K110" s="225">
        <f>IF($J110=0,0,(J110/J$124))</f>
        <v>2.3688397280245264E-2</v>
      </c>
    </row>
    <row r="111" spans="1:11" s="203" customFormat="1" ht="12.95" customHeight="1" x14ac:dyDescent="0.2">
      <c r="A111" s="96"/>
      <c r="B111" s="96"/>
      <c r="C111" s="110"/>
      <c r="D111" s="100" t="s">
        <v>211</v>
      </c>
      <c r="E111" s="100"/>
      <c r="F111" s="100"/>
      <c r="G111" s="100"/>
      <c r="H111" s="100"/>
      <c r="I111" s="224">
        <f>'Supervisor TRT'!I111</f>
        <v>6.7900000000000002E-2</v>
      </c>
      <c r="J111" s="192">
        <f>TRUNC(ROUND($I111*($J$109+$J$110),2),2)</f>
        <v>254.26</v>
      </c>
      <c r="K111" s="225">
        <f>IF($J111=0,0,(J111/J$124))</f>
        <v>5.5221526473596419E-2</v>
      </c>
    </row>
    <row r="112" spans="1:11" s="203" customFormat="1" ht="12.95" customHeight="1" x14ac:dyDescent="0.2">
      <c r="A112" s="96"/>
      <c r="B112" s="96"/>
      <c r="C112" s="121"/>
      <c r="D112" s="100" t="s">
        <v>212</v>
      </c>
      <c r="E112" s="100"/>
      <c r="F112" s="100"/>
      <c r="G112" s="100"/>
      <c r="H112" s="100"/>
      <c r="I112" s="79"/>
      <c r="J112" s="90"/>
      <c r="K112" s="226"/>
    </row>
    <row r="113" spans="1:11" s="203" customFormat="1" ht="12.95" customHeight="1" x14ac:dyDescent="0.2">
      <c r="A113" s="96"/>
      <c r="B113" s="96"/>
      <c r="C113" s="121"/>
      <c r="D113" s="100"/>
      <c r="E113" s="100" t="s">
        <v>307</v>
      </c>
      <c r="F113" s="100"/>
      <c r="G113" s="100"/>
      <c r="H113" s="100"/>
      <c r="I113" s="227">
        <f>SUM(I114:I117)</f>
        <v>8.1499999999999989E-2</v>
      </c>
      <c r="J113" s="228">
        <f>SUM(J114:J117)</f>
        <v>375.25565342544621</v>
      </c>
      <c r="K113" s="225">
        <f>IF($J113=0,0,(J113/J$124))</f>
        <v>8.1500000000000003E-2</v>
      </c>
    </row>
    <row r="114" spans="1:11" s="203" customFormat="1" ht="12.95" customHeight="1" x14ac:dyDescent="0.2">
      <c r="A114" s="96"/>
      <c r="B114" s="96"/>
      <c r="C114" s="96"/>
      <c r="D114" s="229"/>
      <c r="E114" s="229"/>
      <c r="F114" s="230"/>
      <c r="G114" s="230"/>
      <c r="H114" s="231" t="s">
        <v>10</v>
      </c>
      <c r="I114" s="308">
        <f>'Dados Proponente'!I25</f>
        <v>0.03</v>
      </c>
      <c r="J114" s="192">
        <f>$I114*J$124</f>
        <v>138.13091537132988</v>
      </c>
      <c r="K114" s="225">
        <f>IF($J114=0,0,(J114/J$124))</f>
        <v>2.9999999999999995E-2</v>
      </c>
    </row>
    <row r="115" spans="1:11" s="203" customFormat="1" ht="12.95" customHeight="1" thickBot="1" x14ac:dyDescent="0.25">
      <c r="A115" s="96"/>
      <c r="B115" s="96"/>
      <c r="C115" s="96"/>
      <c r="D115" s="232"/>
      <c r="E115" s="232"/>
      <c r="F115" s="233"/>
      <c r="G115" s="233"/>
      <c r="H115" s="230" t="s">
        <v>8</v>
      </c>
      <c r="I115" s="308">
        <f>'Dados Proponente'!I24</f>
        <v>6.4999999999999997E-3</v>
      </c>
      <c r="J115" s="192">
        <f>$I115*J$124</f>
        <v>29.928364997121477</v>
      </c>
      <c r="K115" s="225">
        <f>IF($J115=0,0,(J115/J$124))</f>
        <v>6.4999999999999997E-3</v>
      </c>
    </row>
    <row r="116" spans="1:11" s="203" customFormat="1" ht="12.95" customHeight="1" thickBot="1" x14ac:dyDescent="0.25">
      <c r="A116" s="96"/>
      <c r="B116" s="96"/>
      <c r="C116" s="96"/>
      <c r="D116" s="232"/>
      <c r="E116" s="232"/>
      <c r="F116" s="234"/>
      <c r="G116" s="234"/>
      <c r="H116" s="231" t="s">
        <v>213</v>
      </c>
      <c r="I116" s="224">
        <v>0</v>
      </c>
      <c r="J116" s="192">
        <f>$I116*J$124</f>
        <v>0</v>
      </c>
      <c r="K116" s="225">
        <f>IF($J116=0,0,(J116/J$124))</f>
        <v>0</v>
      </c>
    </row>
    <row r="117" spans="1:11" s="203" customFormat="1" ht="12.95" customHeight="1" x14ac:dyDescent="0.2">
      <c r="A117" s="96"/>
      <c r="B117" s="96"/>
      <c r="C117" s="96"/>
      <c r="D117" s="232"/>
      <c r="E117" s="232"/>
      <c r="F117" s="234"/>
      <c r="G117" s="234"/>
      <c r="H117" s="231" t="s">
        <v>93</v>
      </c>
      <c r="I117" s="308">
        <f>IF(Apoio!$E$12=1,4.5%,0%)</f>
        <v>4.4999999999999998E-2</v>
      </c>
      <c r="J117" s="192">
        <f>$I117*J$124</f>
        <v>207.19637305699484</v>
      </c>
      <c r="K117" s="225">
        <f>IF($J117=0,0,(J117/J$124))</f>
        <v>4.4999999999999998E-2</v>
      </c>
    </row>
    <row r="118" spans="1:11" s="203" customFormat="1" ht="12.95" customHeight="1" thickBot="1" x14ac:dyDescent="0.25">
      <c r="A118" s="96"/>
      <c r="B118" s="96"/>
      <c r="C118" s="96"/>
      <c r="D118" s="96"/>
      <c r="E118" s="235" t="s">
        <v>214</v>
      </c>
      <c r="F118" s="236" t="s">
        <v>215</v>
      </c>
      <c r="G118" s="236"/>
      <c r="H118" s="96"/>
      <c r="I118" s="96"/>
      <c r="J118" s="90"/>
      <c r="K118" s="226"/>
    </row>
    <row r="119" spans="1:11" s="203" customFormat="1" ht="12.95" customHeight="1" x14ac:dyDescent="0.2">
      <c r="A119" s="96"/>
      <c r="B119" s="96"/>
      <c r="C119" s="121"/>
      <c r="D119" s="100"/>
      <c r="E119" s="100" t="s">
        <v>216</v>
      </c>
      <c r="F119" s="100"/>
      <c r="G119" s="490"/>
      <c r="H119" s="490"/>
      <c r="I119" s="224">
        <v>0</v>
      </c>
      <c r="J119" s="192">
        <f>$I119*J$124</f>
        <v>0</v>
      </c>
      <c r="K119" s="225">
        <f>IF($J119=0,0,(J119/J$124))</f>
        <v>0</v>
      </c>
    </row>
    <row r="120" spans="1:11" s="314" customFormat="1" ht="12.95" customHeight="1" thickBot="1" x14ac:dyDescent="0.25">
      <c r="A120" s="96"/>
      <c r="B120" s="96"/>
      <c r="C120" s="121"/>
      <c r="D120" s="100"/>
      <c r="E120" s="100" t="s">
        <v>308</v>
      </c>
      <c r="F120" s="100"/>
      <c r="G120" s="100"/>
      <c r="H120" s="100"/>
      <c r="I120" s="237"/>
      <c r="J120" s="312"/>
      <c r="K120" s="313"/>
    </row>
    <row r="121" spans="1:11" s="203" customFormat="1" ht="12.95" customHeight="1" x14ac:dyDescent="0.2">
      <c r="A121" s="96"/>
      <c r="B121" s="96"/>
      <c r="C121" s="126"/>
      <c r="D121" s="238"/>
      <c r="E121" s="239"/>
      <c r="F121" s="230"/>
      <c r="G121" s="230"/>
      <c r="H121" s="231" t="s">
        <v>217</v>
      </c>
      <c r="I121" s="308">
        <f>'Dados Proponente'!I28</f>
        <v>0.05</v>
      </c>
      <c r="J121" s="192">
        <f>I121*J$124</f>
        <v>230.21819228554983</v>
      </c>
      <c r="K121" s="225">
        <f>IF($J121=0,0,(J121/J$124))</f>
        <v>0.05</v>
      </c>
    </row>
    <row r="122" spans="1:11" s="203" customFormat="1" ht="12.95" customHeight="1" thickBot="1" x14ac:dyDescent="0.25">
      <c r="A122" s="96"/>
      <c r="B122" s="96"/>
      <c r="C122" s="126"/>
      <c r="D122" s="238"/>
      <c r="E122" s="239"/>
      <c r="F122" s="234"/>
      <c r="G122" s="234"/>
      <c r="H122" s="234"/>
      <c r="I122" s="240"/>
      <c r="J122" s="90"/>
      <c r="K122" s="226"/>
    </row>
    <row r="123" spans="1:11" s="203" customFormat="1" ht="12.95" customHeight="1" thickBot="1" x14ac:dyDescent="0.25">
      <c r="A123" s="96"/>
      <c r="B123" s="96"/>
      <c r="C123" s="110"/>
      <c r="D123" s="100"/>
      <c r="E123" s="100" t="s">
        <v>218</v>
      </c>
      <c r="F123" s="100"/>
      <c r="G123" s="486"/>
      <c r="H123" s="486"/>
      <c r="I123" s="224">
        <v>0</v>
      </c>
      <c r="J123" s="192">
        <f>$I123*J$124</f>
        <v>0</v>
      </c>
      <c r="K123" s="225">
        <f>IF($J123=0,0,(J123/J$124))</f>
        <v>0</v>
      </c>
    </row>
    <row r="124" spans="1:11" s="203" customFormat="1" ht="14.1" customHeight="1" thickBot="1" x14ac:dyDescent="0.25">
      <c r="A124" s="96"/>
      <c r="B124" s="96"/>
      <c r="C124" s="196"/>
      <c r="D124" s="197" t="s">
        <v>219</v>
      </c>
      <c r="E124" s="166"/>
      <c r="F124" s="166"/>
      <c r="G124" s="166"/>
      <c r="H124" s="166"/>
      <c r="I124" s="166"/>
      <c r="J124" s="241">
        <f>SUM(J109:J111)/(1-I113-I121)</f>
        <v>4604.3638457109964</v>
      </c>
      <c r="K124" s="199">
        <f>SUM(K109:K113)+K119+K121+K123</f>
        <v>1</v>
      </c>
    </row>
    <row r="125" spans="1:11" s="203" customFormat="1" ht="12.95" customHeight="1" x14ac:dyDescent="0.2">
      <c r="A125" s="96"/>
      <c r="B125" s="217"/>
      <c r="C125" s="137"/>
      <c r="D125" s="207"/>
      <c r="E125" s="207"/>
      <c r="F125" s="207"/>
      <c r="G125" s="207"/>
      <c r="H125" s="207"/>
      <c r="I125" s="208"/>
      <c r="J125" s="209"/>
      <c r="K125" s="209"/>
    </row>
    <row r="126" spans="1:11" s="96" customFormat="1" ht="14.1" customHeight="1" x14ac:dyDescent="0.2">
      <c r="B126" s="181"/>
      <c r="C126" s="182" t="s">
        <v>220</v>
      </c>
      <c r="D126" s="70"/>
      <c r="E126" s="70"/>
      <c r="F126" s="70"/>
      <c r="G126" s="70"/>
      <c r="H126" s="70"/>
      <c r="I126" s="70"/>
      <c r="J126" s="204"/>
      <c r="K126" s="205"/>
    </row>
    <row r="127" spans="1:11" s="96" customFormat="1" ht="24.95" customHeight="1" x14ac:dyDescent="0.2">
      <c r="C127" s="138"/>
      <c r="D127" s="71"/>
      <c r="E127" s="71"/>
      <c r="F127" s="71"/>
      <c r="G127" s="71"/>
      <c r="H127" s="71"/>
      <c r="I127" s="71"/>
      <c r="J127" s="184" t="s">
        <v>221</v>
      </c>
      <c r="K127" s="185" t="s">
        <v>222</v>
      </c>
    </row>
    <row r="128" spans="1:11" s="203" customFormat="1" ht="12.95" customHeight="1" x14ac:dyDescent="0.2">
      <c r="A128" s="96"/>
      <c r="B128" s="96"/>
      <c r="C128" s="110"/>
      <c r="D128" s="100" t="s">
        <v>223</v>
      </c>
      <c r="E128" s="100"/>
      <c r="F128" s="100"/>
      <c r="G128" s="100"/>
      <c r="H128" s="100"/>
      <c r="I128" s="79"/>
      <c r="J128" s="188">
        <f>TRUNC(ROUND(J31,2),2)</f>
        <v>1968.86</v>
      </c>
      <c r="K128" s="188">
        <f>IF($J128=0,0,($J128*$J$15))</f>
        <v>5906.58</v>
      </c>
    </row>
    <row r="129" spans="1:11" s="203" customFormat="1" ht="12.95" customHeight="1" x14ac:dyDescent="0.2">
      <c r="A129" s="96"/>
      <c r="B129" s="96"/>
      <c r="C129" s="110"/>
      <c r="D129" s="100" t="s">
        <v>224</v>
      </c>
      <c r="E129" s="100"/>
      <c r="F129" s="100"/>
      <c r="G129" s="100"/>
      <c r="H129" s="100"/>
      <c r="I129" s="79"/>
      <c r="J129" s="188">
        <f>TRUNC(ROUND(J41,2),2)</f>
        <v>457.91</v>
      </c>
      <c r="K129" s="188">
        <f>IF($J129=0,0,($J129*$J$15))</f>
        <v>1373.73</v>
      </c>
    </row>
    <row r="130" spans="1:11" s="203" customFormat="1" ht="12.95" customHeight="1" x14ac:dyDescent="0.2">
      <c r="A130" s="96"/>
      <c r="B130" s="96"/>
      <c r="C130" s="110"/>
      <c r="D130" s="100" t="s">
        <v>225</v>
      </c>
      <c r="E130" s="100"/>
      <c r="F130" s="100"/>
      <c r="G130" s="100"/>
      <c r="H130" s="100"/>
      <c r="I130" s="79"/>
      <c r="J130" s="188">
        <f>TRUNC(ROUND(J50,2),2)</f>
        <v>120.16</v>
      </c>
      <c r="K130" s="188">
        <f>IF($J130=0,0,($J130*$J$15))</f>
        <v>360.48</v>
      </c>
    </row>
    <row r="131" spans="1:11" s="203" customFormat="1" ht="12.95" customHeight="1" x14ac:dyDescent="0.2">
      <c r="A131" s="96"/>
      <c r="B131" s="96"/>
      <c r="C131" s="110"/>
      <c r="D131" s="100" t="s">
        <v>226</v>
      </c>
      <c r="E131" s="100"/>
      <c r="F131" s="100"/>
      <c r="G131" s="100"/>
      <c r="H131" s="100"/>
      <c r="I131" s="79"/>
      <c r="J131" s="188">
        <f>TRUNC(ROUND(J97,2),2)</f>
        <v>1088.6300000000001</v>
      </c>
      <c r="K131" s="188">
        <f>IF($J131=0,0,($J131*$J$15))</f>
        <v>3265.8900000000003</v>
      </c>
    </row>
    <row r="132" spans="1:11" s="203" customFormat="1" ht="12.95" customHeight="1" x14ac:dyDescent="0.2">
      <c r="A132" s="96"/>
      <c r="B132" s="96"/>
      <c r="C132" s="110"/>
      <c r="D132" s="100" t="s">
        <v>227</v>
      </c>
      <c r="E132" s="100"/>
      <c r="F132" s="100"/>
      <c r="G132" s="100"/>
      <c r="H132" s="100"/>
      <c r="I132" s="79"/>
      <c r="J132" s="188">
        <f>TRUNC(ROUND(SUM(J110,J111,J113,J119,J121,J123),2),2)</f>
        <v>968.8</v>
      </c>
      <c r="K132" s="188">
        <f>IF($J132=0,0,($J132*$J$15))</f>
        <v>2906.3999999999996</v>
      </c>
    </row>
    <row r="133" spans="1:11" s="203" customFormat="1" ht="14.1" customHeight="1" thickBot="1" x14ac:dyDescent="0.25">
      <c r="A133" s="96"/>
      <c r="B133" s="96"/>
      <c r="C133" s="196"/>
      <c r="D133" s="197" t="s">
        <v>228</v>
      </c>
      <c r="E133" s="166"/>
      <c r="F133" s="166"/>
      <c r="G133" s="166"/>
      <c r="H133" s="166"/>
      <c r="I133" s="166"/>
      <c r="J133" s="241">
        <f>SUM(J128:J132)</f>
        <v>4604.3599999999997</v>
      </c>
      <c r="K133" s="241">
        <f>SUM(K128:K132)</f>
        <v>13813.08</v>
      </c>
    </row>
    <row r="134" spans="1:11" s="96" customFormat="1" ht="15" customHeight="1" thickTop="1" thickBot="1" x14ac:dyDescent="0.25">
      <c r="B134" s="217"/>
      <c r="C134" s="176"/>
      <c r="D134" s="177"/>
      <c r="E134" s="178"/>
      <c r="F134" s="179"/>
      <c r="G134" s="179"/>
      <c r="H134" s="179"/>
      <c r="I134" s="179"/>
      <c r="J134" s="179"/>
      <c r="K134" s="179"/>
    </row>
    <row r="135" spans="1:11" s="68" customFormat="1" ht="12.95" customHeight="1" thickTop="1" thickBot="1" x14ac:dyDescent="0.25">
      <c r="B135" s="181"/>
      <c r="C135" s="69" t="s">
        <v>145</v>
      </c>
      <c r="D135" s="70"/>
      <c r="E135" s="70"/>
      <c r="F135" s="70"/>
      <c r="G135" s="70"/>
      <c r="H135" s="70"/>
      <c r="I135" s="70"/>
      <c r="J135" s="70"/>
    </row>
    <row r="136" spans="1:11" s="67" customFormat="1" ht="24.95" customHeight="1" thickBot="1" x14ac:dyDescent="0.25">
      <c r="A136" s="68"/>
      <c r="B136" s="72"/>
      <c r="C136" s="131"/>
      <c r="D136" s="73"/>
      <c r="E136" s="73"/>
      <c r="F136" s="73"/>
      <c r="G136" s="87"/>
      <c r="H136" s="97"/>
      <c r="I136" s="97"/>
      <c r="K136" s="184" t="s">
        <v>221</v>
      </c>
    </row>
    <row r="137" spans="1:11" s="67" customFormat="1" ht="12.95" customHeight="1" x14ac:dyDescent="0.2">
      <c r="A137" s="68"/>
      <c r="B137" s="72"/>
      <c r="C137" s="133" t="s">
        <v>101</v>
      </c>
      <c r="D137" s="73"/>
      <c r="E137" s="73"/>
      <c r="F137" s="73"/>
      <c r="G137" s="87"/>
      <c r="H137" s="79"/>
      <c r="I137" s="79"/>
      <c r="K137" s="83">
        <f>J67</f>
        <v>164.01</v>
      </c>
    </row>
    <row r="138" spans="1:11" s="67" customFormat="1" ht="12.95" customHeight="1" x14ac:dyDescent="0.2">
      <c r="A138" s="68"/>
      <c r="B138" s="72"/>
      <c r="C138" s="133" t="s">
        <v>287</v>
      </c>
      <c r="D138" s="73"/>
      <c r="E138" s="73"/>
      <c r="F138" s="73"/>
      <c r="G138" s="87"/>
      <c r="H138" s="79"/>
      <c r="I138" s="79"/>
      <c r="K138" s="83">
        <f>J67+J68</f>
        <v>218.73999999999998</v>
      </c>
    </row>
    <row r="139" spans="1:11" s="67" customFormat="1" ht="12.95" customHeight="1" x14ac:dyDescent="0.2">
      <c r="A139" s="68"/>
      <c r="B139" s="72"/>
      <c r="C139" s="144" t="s">
        <v>146</v>
      </c>
      <c r="D139" s="73"/>
      <c r="E139" s="73"/>
      <c r="F139" s="73"/>
      <c r="G139" s="87"/>
      <c r="H139" s="79"/>
      <c r="I139" s="79"/>
      <c r="K139" s="289">
        <f>SUM(K137:K138)</f>
        <v>382.75</v>
      </c>
    </row>
    <row r="140" spans="1:11" s="67" customFormat="1" ht="24.95" customHeight="1" x14ac:dyDescent="0.2">
      <c r="A140" s="68"/>
      <c r="B140" s="72"/>
      <c r="C140" s="482" t="s">
        <v>285</v>
      </c>
      <c r="D140" s="482"/>
      <c r="E140" s="482"/>
      <c r="F140" s="482"/>
      <c r="G140" s="482"/>
      <c r="H140" s="79"/>
      <c r="I140" s="79"/>
      <c r="K140" s="83">
        <f>ROUND(SUM(Encargos_Benefícios!I19:I26)*(Encargos_Benefícios!I28+Encargos_Benefícios!I28+Encargos_Benefícios!I29)*'Técnico TRT'!J31,2)</f>
        <v>56.65</v>
      </c>
    </row>
    <row r="141" spans="1:11" s="67" customFormat="1" ht="12.95" customHeight="1" thickBot="1" x14ac:dyDescent="0.25">
      <c r="A141" s="68"/>
      <c r="B141" s="72"/>
      <c r="C141" s="133" t="s">
        <v>286</v>
      </c>
      <c r="D141" s="73"/>
      <c r="E141" s="73"/>
      <c r="F141" s="73"/>
      <c r="G141" s="87"/>
      <c r="H141" s="97"/>
      <c r="I141" s="79"/>
      <c r="K141" s="290">
        <f>J79</f>
        <v>63</v>
      </c>
    </row>
    <row r="142" spans="1:11" s="67" customFormat="1" ht="12.95" customHeight="1" thickTop="1" thickBot="1" x14ac:dyDescent="0.25">
      <c r="A142" s="68"/>
      <c r="B142" s="291"/>
      <c r="C142" s="292" t="s">
        <v>147</v>
      </c>
      <c r="D142" s="293"/>
      <c r="E142" s="293"/>
      <c r="F142" s="293"/>
      <c r="G142" s="294"/>
      <c r="H142" s="294"/>
      <c r="I142" s="294"/>
      <c r="J142" s="294"/>
      <c r="K142" s="295">
        <f>SUM(K139:K141)</f>
        <v>502.4</v>
      </c>
    </row>
    <row r="143" spans="1:11" s="96" customFormat="1" ht="15" customHeight="1" thickTop="1" x14ac:dyDescent="0.2">
      <c r="B143" s="174"/>
      <c r="C143" s="176"/>
      <c r="D143" s="177"/>
      <c r="E143" s="178"/>
      <c r="F143" s="179"/>
      <c r="G143" s="179"/>
      <c r="H143" s="179"/>
      <c r="I143" s="179"/>
      <c r="J143" s="179"/>
      <c r="K143" s="179"/>
    </row>
    <row r="144" spans="1:11" s="96" customFormat="1" ht="15" customHeight="1" x14ac:dyDescent="0.2"/>
    <row r="145" spans="1:11" s="153" customFormat="1" ht="30" customHeight="1" x14ac:dyDescent="0.2">
      <c r="A145" s="152"/>
      <c r="C145" s="481" t="s">
        <v>229</v>
      </c>
      <c r="D145" s="481"/>
      <c r="E145" s="481"/>
      <c r="F145" s="481"/>
      <c r="G145" s="481"/>
      <c r="H145" s="481"/>
      <c r="I145" s="481"/>
      <c r="J145" s="481"/>
      <c r="K145" s="481"/>
    </row>
    <row r="146" spans="1:11" ht="30" customHeight="1" x14ac:dyDescent="0.2">
      <c r="C146" s="480" t="s">
        <v>230</v>
      </c>
      <c r="D146" s="480"/>
      <c r="E146" s="480"/>
      <c r="F146" s="480"/>
      <c r="G146" s="480"/>
      <c r="H146" s="480"/>
      <c r="I146" s="480"/>
      <c r="J146" s="480"/>
      <c r="K146" s="480"/>
    </row>
    <row r="147" spans="1:11" ht="30" customHeight="1" x14ac:dyDescent="0.2">
      <c r="C147" s="480" t="s">
        <v>231</v>
      </c>
      <c r="D147" s="480"/>
      <c r="E147" s="480"/>
      <c r="F147" s="480"/>
      <c r="G147" s="480"/>
      <c r="H147" s="480"/>
      <c r="I147" s="480"/>
      <c r="J147" s="480"/>
      <c r="K147" s="480"/>
    </row>
    <row r="148" spans="1:11" ht="45" customHeight="1" x14ac:dyDescent="0.2">
      <c r="C148" s="480" t="s">
        <v>232</v>
      </c>
      <c r="D148" s="480"/>
      <c r="E148" s="480"/>
      <c r="F148" s="480"/>
      <c r="G148" s="480"/>
      <c r="H148" s="480"/>
      <c r="I148" s="480"/>
      <c r="J148" s="480"/>
      <c r="K148" s="480"/>
    </row>
    <row r="65533" hidden="1" x14ac:dyDescent="0.2"/>
  </sheetData>
  <mergeCells count="31">
    <mergeCell ref="E9:K9"/>
    <mergeCell ref="L1:Y1"/>
    <mergeCell ref="B4:D4"/>
    <mergeCell ref="J4:K4"/>
    <mergeCell ref="E4:F4"/>
    <mergeCell ref="E5:K5"/>
    <mergeCell ref="E11:I11"/>
    <mergeCell ref="B14:F14"/>
    <mergeCell ref="G14:I14"/>
    <mergeCell ref="J14:K14"/>
    <mergeCell ref="B15:F15"/>
    <mergeCell ref="G15:I15"/>
    <mergeCell ref="J15:K15"/>
    <mergeCell ref="C140:G140"/>
    <mergeCell ref="F40:H40"/>
    <mergeCell ref="F49:H49"/>
    <mergeCell ref="F30:I30"/>
    <mergeCell ref="J18:K18"/>
    <mergeCell ref="B19:E19"/>
    <mergeCell ref="F19:G19"/>
    <mergeCell ref="H19:I19"/>
    <mergeCell ref="J19:K19"/>
    <mergeCell ref="B18:E18"/>
    <mergeCell ref="F18:G18"/>
    <mergeCell ref="H18:I18"/>
    <mergeCell ref="C148:K148"/>
    <mergeCell ref="C145:K145"/>
    <mergeCell ref="C146:K146"/>
    <mergeCell ref="C147:K147"/>
    <mergeCell ref="G119:H119"/>
    <mergeCell ref="G123:H123"/>
  </mergeCells>
  <phoneticPr fontId="41" type="noConversion"/>
  <conditionalFormatting sqref="G142:J142 G141 G136:G139 I125:K125 J121 J123:K123 I128:K132 H136:I141 I106:K106 I98:K98 I101:K104 J119 K117:K122 I112 J109:J111 I109 I92:K96 J87:K87 I86:K86 I80:I81 I78:K78 I73:K73 I51:K51 J79:K81 I67:K68 I55:K62 J116:K116 J24:K30 I45:K49 K109:K115 J113:J115 J117 I35:K40">
    <cfRule type="cellIs" dxfId="1" priority="1" stopIfTrue="1" operator="equal">
      <formula>0</formula>
    </cfRule>
  </conditionalFormatting>
  <printOptions horizontalCentered="1"/>
  <pageMargins left="0.59055118110236227" right="0.39370078740157483" top="0.70866141732283472" bottom="0.59055118110236227" header="0.31496062992125984" footer="0.31496062992125984"/>
  <pageSetup paperSize="9" scale="91" firstPageNumber="0" orientation="portrait" horizontalDpi="300" verticalDpi="300" r:id="rId1"/>
  <headerFooter alignWithMargins="0">
    <oddHeader>&amp;C&amp;"Verdana,Negrito"&amp;11&amp;A</oddHeader>
    <oddFooter>&amp;C&amp;P</oddFooter>
  </headerFooter>
  <rowBreaks count="2" manualBreakCount="2">
    <brk id="51" max="10" man="1"/>
    <brk id="10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16</vt:i4>
      </vt:variant>
    </vt:vector>
  </HeadingPairs>
  <TitlesOfParts>
    <vt:vector size="27" baseType="lpstr">
      <vt:lpstr>Apoio</vt:lpstr>
      <vt:lpstr>AVISO</vt:lpstr>
      <vt:lpstr>Base de Cálculo</vt:lpstr>
      <vt:lpstr>Dados Contratação</vt:lpstr>
      <vt:lpstr>Dados Proponente</vt:lpstr>
      <vt:lpstr>Encargos_Benefícios</vt:lpstr>
      <vt:lpstr>Uniformes</vt:lpstr>
      <vt:lpstr>Supervisor TRT</vt:lpstr>
      <vt:lpstr>Técnico TRT</vt:lpstr>
      <vt:lpstr>Técnico Fórum</vt:lpstr>
      <vt:lpstr>Valor Global</vt:lpstr>
      <vt:lpstr>Apoio!Area_de_impressao</vt:lpstr>
      <vt:lpstr>AVISO!Area_de_impressao</vt:lpstr>
      <vt:lpstr>'Base de Cálculo'!Area_de_impressao</vt:lpstr>
      <vt:lpstr>'Dados Contratação'!Area_de_impressao</vt:lpstr>
      <vt:lpstr>'Dados Proponente'!Area_de_impressao</vt:lpstr>
      <vt:lpstr>Encargos_Benefícios!Area_de_impressao</vt:lpstr>
      <vt:lpstr>'Supervisor TRT'!Area_de_impressao</vt:lpstr>
      <vt:lpstr>'Técnico Fórum'!Area_de_impressao</vt:lpstr>
      <vt:lpstr>'Técnico TRT'!Area_de_impressao</vt:lpstr>
      <vt:lpstr>Uniformes!Area_de_impressao</vt:lpstr>
      <vt:lpstr>'Valor Global'!Area_de_impressao</vt:lpstr>
      <vt:lpstr>'Valor Global'!Excel_BuiltIn__FilterDatabase</vt:lpstr>
      <vt:lpstr>Jornada</vt:lpstr>
      <vt:lpstr>Periodo</vt:lpstr>
      <vt:lpstr>Receita</vt:lpstr>
      <vt:lpstr>Semana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Mônica Chimendes</dc:creator>
  <cp:lastModifiedBy>CTIC</cp:lastModifiedBy>
  <cp:lastPrinted>2021-02-19T17:03:17Z</cp:lastPrinted>
  <dcterms:created xsi:type="dcterms:W3CDTF">2014-08-13T20:03:51Z</dcterms:created>
  <dcterms:modified xsi:type="dcterms:W3CDTF">2021-02-19T17:15:34Z</dcterms:modified>
</cp:coreProperties>
</file>